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otice" state="visible" r:id="rId4"/>
    <sheet sheetId="2" name="Tableau de bord" state="visible" r:id="rId5"/>
    <sheet sheetId="3" name="Parc" state="visible" r:id="rId6"/>
    <sheet sheetId="4" name="Vérifications" state="visible" r:id="rId7"/>
    <sheet sheetId="5" name="Réserves" state="visible" r:id="rId8"/>
    <sheet sheetId="6" name="Référentiel" state="visible" r:id="rId9"/>
  </sheets>
  <definedNames>
    <definedName name="_xlnm.Print_Area" localSheetId="2">'Parc'!$A1:$J301</definedName>
    <definedName name="_xlnm.Print_Titles" localSheetId="2">'Parc'!$1:$1</definedName>
    <definedName name="_xlnm.Print_Area" localSheetId="3">'Vérifications'!$A1:$K1001</definedName>
    <definedName name="_xlnm.Print_Titles" localSheetId="3">'Vérifications'!$1:$1</definedName>
    <definedName name="_xlnm.Print_Titles" localSheetId="4">'Réserves'!$1:$1</definedName>
    <definedName name="_xlnm.Print_Titles" localSheetId="5">'Référentiel'!$1:$1</definedName>
  </definedNames>
  <calcPr calcId="171027" fullCalcOnLoad="1"/>
</workbook>
</file>

<file path=xl/sharedStrings.xml><?xml version="1.0" encoding="utf-8"?>
<sst xmlns="http://schemas.openxmlformats.org/spreadsheetml/2006/main" count="1087" uniqueCount="461">
  <si>
    <t>REGISTRE DES VÉRIFICATIONS GÉNÉRALES PÉRIODIQUES (VGP)</t>
  </si>
  <si>
    <t>Modèle gratuit Roméo Labs - romeolabs.app - Périodicités vérifiées sur Légifrance le 27 septembre 2026 - Licence CC BY 4.0.</t>
  </si>
  <si>
    <t/>
  </si>
  <si>
    <t>À QUOI SERT CE FICHIER</t>
  </si>
  <si>
    <t>Il tient le registre chronologique de vos vérifications (onglet Vérifications, une ligne par rapport, jamais écrasée) et en déduit, pour chaque équipement du Parc, la dernière vérification, son résultat, la prochaine échéance et un statut. Il suit aussi les réserves jusqu'à leur levée.</t>
  </si>
  <si>
    <t>Le Code du travail demande de consigner le résultat des vérifications au registre de sécurité et d'y annexer les rapports, ou d'indiquer la date des vérifications, la date de remise des rapports et leur lieu de conservation (R4323-25 et R4323-26). Le registre peut être tenu sur tout support s'il restitue les mentions sans risque d'altération : conservez les rapports et archivez une copie datée du fichier (PDF) à chaque mise à jour.</t>
  </si>
  <si>
    <t>COMMENT LE REMPLIR</t>
  </si>
  <si>
    <t>1. Onglet Tableau de bord : tapez vos sites ou chantiers ; ils alimentent la liste de la colonne Site du Parc. Réglez le délai d'alerte (30 jours par défaut).</t>
  </si>
  <si>
    <t>2. Onglet Parc : une ligne par équipement et par vérification, avec une référence unique (une référence en double passe en rouge). Choisissez le TYPE dans la liste : famille, périodicité légale et texte de référence se remplissent seuls.</t>
  </si>
  <si>
    <t>3. Onglet Vérifications : une ligne par rapport (date, référence, nature, résultat, organisme, personne, n° et lieu de conservation du rapport). La dernière vérification du Parc et l'échéance se mettent à jour seules. Un examen partiel ne relance pas l'échéance.</t>
  </si>
  <si>
    <t>4. Onglet Réserves : une ligne par observation d'un rapport. Une réserve « Mise à l'arrêt » non levée, ou un dernier résultat « Mise à l'arrêt », fait passer l'équipement au statut « Arrêt : réserve à lever » jusqu'à une nouvelle vérification.</t>
  </si>
  <si>
    <t>5. Si la notice du fabricant ou votre règle interne impose plus court, saisissez-le en mois dans le Parc. Une périodicité plus longue que le maximum légal est ignorée et barrée en rouge.</t>
  </si>
  <si>
    <t>Seules les cellules à fond bleu clair se remplissent ; le reste se calcule. La flèche des en-têtes filtre, par exemple sur les équipements en retard. Pour imprimer le Parc, filtrez la colonne Statut sur les valeurs non vides : la zone d'impression couvre les colonnes utiles à un contrôle.</t>
  </si>
  <si>
    <t>LES STATUTS</t>
  </si>
  <si>
    <t>En retard : échéance dépassée, faites vérifier l'équipement avant de l'utiliser. Arrêt : réserve à lever : un rapport a demandé la mise à l'arrêt. Vérif. initiale à tracer : aucune vérification enregistrée ; la plupart des équipements demandent une vérification de mise en service ou initiale avant la première utilisation.</t>
  </si>
  <si>
    <t>Rapport loueur à obtenir : équipement loué sans copie de la dernière VGP du loueur. À planifier : échéance dans le délai d'alerte. Hors service : avant toute reprise, vérifiez l'échéance et les cas de remise en service. Location terminée : sortie des compteurs.</t>
  </si>
  <si>
    <t>À SAVOIR</t>
  </si>
  <si>
    <t>Une VGP n'est ni la maintenance, ni le contrôle technique du véhicule, ni le CACES ou l'autorisation de conduite : elle porte sur l'équipement, pas sur le conducteur.</t>
  </si>
  <si>
    <t>Pour la VGP courante, une personne qualifiée, interne ou externe, suffit (R4323-24). Un organisme accrédité n'est exigé que dans des cas précis, par exemple à la demande de l'inspection du travail.</t>
  </si>
  <si>
    <t>Un démontage, une réparation importante, un accident ou, pour de nombreux appareils, un changement de site imposent une vérification de remise en service. Saisie comme « Remise en service complète », elle relance l'échéance ; un simple examen d'adéquation se saisit comme « Examen partiel ».</t>
  </si>
  <si>
    <t>Conservez les rapports 5 ans, et dans tous les cas les deux derniers (D4711-3).</t>
  </si>
  <si>
    <t>Les types marqués « usage » (extincteurs hors ERP, RIA, racks, lignes de vie, PIR) reposent sur une norme ou une recommandation, pas sur une obligation légale : l'onglet Référentiel le précise.</t>
  </si>
  <si>
    <t>LIMITES</t>
  </si>
  <si>
    <t>Ce fichier aide à tenir le registre et les échéances : il ne remplace ni les rapports de vérification, ni le jugement du vérificateur, ni la notice du fabricant. Les lignes pré-remplies (Parc, Vérifications, Réserves, sites du Tableau de bord) sont fictives : effacez-les.</t>
  </si>
  <si>
    <t>Les calculs se font à l'ouverture : si le tableau de bord paraît vide, cliquez sur « Activer la modification ». Dans LibreOffice, en cas de doute : Données &gt; Calculer &gt; Recalcul inconditionnel. Les feuilles sont protégées sans mot de passe (Révision &gt; Ôter la protection).</t>
  </si>
  <si>
    <t>SOURCES : Légifrance (Code du travail et arrêtés cités ligne par ligne dans l'onglet Référentiel), INRS ED 828 « Principales vérifications périodiques » (7e édition, 2026).</t>
  </si>
  <si>
    <t>TABLEAU DE BORD - se calcule à partir des onglets Parc, Vérifications et Réserves</t>
  </si>
  <si>
    <t>Les 10 prochaines échéances (retards compris)</t>
  </si>
  <si>
    <t>Date du jour</t>
  </si>
  <si>
    <t>Vérifications à prévoir</t>
  </si>
  <si>
    <t>Nombre</t>
  </si>
  <si>
    <t>Réf.</t>
  </si>
  <si>
    <t>Équipement</t>
  </si>
  <si>
    <t>Échéance</t>
  </si>
  <si>
    <t>Statut</t>
  </si>
  <si>
    <t>Alerte avant échéance (jours) - modifiable</t>
  </si>
  <si>
    <t>Échéances déjà dépassées</t>
  </si>
  <si>
    <t>Équipements suivis (lignes renseignées)</t>
  </si>
  <si>
    <t>En retard</t>
  </si>
  <si>
    <t>À l'arrêt : réserve ou mise à l'arrêt à lever</t>
  </si>
  <si>
    <t>Vérification initiale ou de mise en service à tracer</t>
  </si>
  <si>
    <t>Loués : copie de la VGP du loueur à obtenir</t>
  </si>
  <si>
    <t>À planifier (échéance dans le délai d'alerte)</t>
  </si>
  <si>
    <t>Lignes à compléter (type, périodicité ou date)</t>
  </si>
  <si>
    <t>À jour</t>
  </si>
  <si>
    <t>Hors service ou location terminée</t>
  </si>
  <si>
    <t>Part des équipements actifs à jour ou à planifier</t>
  </si>
  <si>
    <t>Réserves non levées</t>
  </si>
  <si>
    <t>dont date de levée dépassée</t>
  </si>
  <si>
    <t>Famille</t>
  </si>
  <si>
    <t>Suivis</t>
  </si>
  <si>
    <t>À planifier</t>
  </si>
  <si>
    <t>Levage de charges</t>
  </si>
  <si>
    <t>Levage de personnes</t>
  </si>
  <si>
    <t>Accessoires de levage</t>
  </si>
  <si>
    <t>Machines</t>
  </si>
  <si>
    <t>Engins de chantier</t>
  </si>
  <si>
    <t>Échafaudages</t>
  </si>
  <si>
    <t>Électricité</t>
  </si>
  <si>
    <t>Incendie</t>
  </si>
  <si>
    <t>Aération</t>
  </si>
  <si>
    <t>Portes et portails</t>
  </si>
  <si>
    <t>Ascenseurs</t>
  </si>
  <si>
    <t>Équipements sous pression</t>
  </si>
  <si>
    <t>EPI</t>
  </si>
  <si>
    <t>Autres</t>
  </si>
  <si>
    <t>Par site ou chantier : tapez vos sites ici, ils apparaissent dans la liste de la colonne Site du Parc</t>
  </si>
  <si>
    <t>Site ou chantier</t>
  </si>
  <si>
    <t>Réserves ouvertes</t>
  </si>
  <si>
    <t>Entrepôt Nord</t>
  </si>
  <si>
    <t>Atelier</t>
  </si>
  <si>
    <t>Chantier Les Tilleuls</t>
  </si>
  <si>
    <t>Réf. interne (unique)</t>
  </si>
  <si>
    <t>Désignation (marque, modèle)</t>
  </si>
  <si>
    <t>Type d'équipement (liste)</t>
  </si>
  <si>
    <t>Dernière vérification (onglet Vérifications)</t>
  </si>
  <si>
    <t>Résultat de cette vérification</t>
  </si>
  <si>
    <t>Prochaine échéance</t>
  </si>
  <si>
    <t>Jours restants</t>
  </si>
  <si>
    <t>Périodicité légale maximale (mois)</t>
  </si>
  <si>
    <t>Périodicité notice ou règle interne (mois)</t>
  </si>
  <si>
    <t>Périodicité appliquée (mois)</t>
  </si>
  <si>
    <t>N° de série ou marquage</t>
  </si>
  <si>
    <t>Quantité (si lot, ex. élingues)</t>
  </si>
  <si>
    <t>Propriété ou location</t>
  </si>
  <si>
    <t>Fin de location (si loué)</t>
  </si>
  <si>
    <t>Copie de la dernière VGP du loueur sur l'appareil</t>
  </si>
  <si>
    <t>En service</t>
  </si>
  <si>
    <t>Date de mise en service</t>
  </si>
  <si>
    <t>Texte de référence</t>
  </si>
  <si>
    <t>Rang (calcul)</t>
  </si>
  <si>
    <t>Remarques</t>
  </si>
  <si>
    <t>CH-01</t>
  </si>
  <si>
    <t>Chariot frontal électrique 1,5 t</t>
  </si>
  <si>
    <t>Chariot élévateur à conducteur porté</t>
  </si>
  <si>
    <t>F15-22871</t>
  </si>
  <si>
    <t>Propriété</t>
  </si>
  <si>
    <t>Oui</t>
  </si>
  <si>
    <t>CH-02</t>
  </si>
  <si>
    <t>Chariot télescopique 14 m</t>
  </si>
  <si>
    <t>Chariot télescopique (fixe ou rotatif)</t>
  </si>
  <si>
    <t>TL14-0932</t>
  </si>
  <si>
    <t>NA-01</t>
  </si>
  <si>
    <t>Nacelle ciseaux 10 m</t>
  </si>
  <si>
    <t>Nacelle élévatrice (PEMP)</t>
  </si>
  <si>
    <t>SC10-5510</t>
  </si>
  <si>
    <t>Location</t>
  </si>
  <si>
    <t>PR-01</t>
  </si>
  <si>
    <t>Pont roulant 5 t atelier</t>
  </si>
  <si>
    <t>Pont roulant, portique ou monorail</t>
  </si>
  <si>
    <t>PR5-1187</t>
  </si>
  <si>
    <t>EL-LOT1</t>
  </si>
  <si>
    <t>Élingues chaîne 2 brins</t>
  </si>
  <si>
    <t>Élingue chaîne, câble ou textile</t>
  </si>
  <si>
    <t>PA-03</t>
  </si>
  <si>
    <t>Palan électrique 1 t (neuf)</t>
  </si>
  <si>
    <t>Palan ou treuil électrique ou pneumatique</t>
  </si>
  <si>
    <t>HA-LOT1</t>
  </si>
  <si>
    <t>Harnais antichute</t>
  </si>
  <si>
    <t>Harnais et système antichute</t>
  </si>
  <si>
    <t>EI-A</t>
  </si>
  <si>
    <t>Installation électrique bâtiment A</t>
  </si>
  <si>
    <t>Installation électrique permanente</t>
  </si>
  <si>
    <t>EX-A</t>
  </si>
  <si>
    <t>Extincteurs bâtiment A</t>
  </si>
  <si>
    <t>Extincteurs (lieu de travail hors ERP)</t>
  </si>
  <si>
    <t>Date de la vérification</t>
  </si>
  <si>
    <t>Réf. équipement (liste)</t>
  </si>
  <si>
    <t>Nature</t>
  </si>
  <si>
    <t>Résultat</t>
  </si>
  <si>
    <t>Organisme ou entreprise du vérificateur</t>
  </si>
  <si>
    <t>Personne qui a vérifié</t>
  </si>
  <si>
    <t>N° du rapport</t>
  </si>
  <si>
    <t>Date de remise du rapport</t>
  </si>
  <si>
    <t>Lieu de conservation du rapport</t>
  </si>
  <si>
    <t>Suite donnée par l'employeur</t>
  </si>
  <si>
    <t>Date retenue (calcul)</t>
  </si>
  <si>
    <t>Clé (calcul)</t>
  </si>
  <si>
    <t>Vérification périodique</t>
  </si>
  <si>
    <t>Avec observations</t>
  </si>
  <si>
    <t>Organisme A</t>
  </si>
  <si>
    <t>M. Durand</t>
  </si>
  <si>
    <t>R-2025-301</t>
  </si>
  <si>
    <t>Classeur VGP, bureau atelier</t>
  </si>
  <si>
    <t>R-2026-114</t>
  </si>
  <si>
    <t>Mise à l'arrêt</t>
  </si>
  <si>
    <t>R-2026-201</t>
  </si>
  <si>
    <t>Engin consigné, flexible commandé</t>
  </si>
  <si>
    <t>Sans observation</t>
  </si>
  <si>
    <t>Organisme du loueur</t>
  </si>
  <si>
    <t>Mme Petit</t>
  </si>
  <si>
    <t>L-5510-26-03</t>
  </si>
  <si>
    <t>Copie dans la nacelle</t>
  </si>
  <si>
    <t>Entreprise (vérification interne)</t>
  </si>
  <si>
    <t>M. Leroy</t>
  </si>
  <si>
    <t>INT-2026-07</t>
  </si>
  <si>
    <t>INT-2026-01</t>
  </si>
  <si>
    <t>INT-2025-19</t>
  </si>
  <si>
    <t>Classeur EPI, magasin</t>
  </si>
  <si>
    <t>Organisme B</t>
  </si>
  <si>
    <t>M. Martin</t>
  </si>
  <si>
    <t>E-2025-331</t>
  </si>
  <si>
    <t>Armoire QSE</t>
  </si>
  <si>
    <t>Prestataire C</t>
  </si>
  <si>
    <t>M. Roux</t>
  </si>
  <si>
    <t>Bon 2026-044</t>
  </si>
  <si>
    <t>Date du rapport</t>
  </si>
  <si>
    <t>Observation ou réserve du rapport</t>
  </si>
  <si>
    <t>Gravité</t>
  </si>
  <si>
    <t>Action corrective</t>
  </si>
  <si>
    <t>Responsable</t>
  </si>
  <si>
    <t>Levée prévue le</t>
  </si>
  <si>
    <t>Levée le</t>
  </si>
  <si>
    <t>Jours depuis le rapport</t>
  </si>
  <si>
    <t>Fuite sur le flexible du vérin de levage</t>
  </si>
  <si>
    <t>Remplacer le flexible, faire vérifier avant remise en service</t>
  </si>
  <si>
    <t>Chef d'atelier</t>
  </si>
  <si>
    <t>Charge maximale d'utilisation illisible sur la poutre</t>
  </si>
  <si>
    <t>À corriger</t>
  </si>
  <si>
    <t>Reposer une plaque de charge</t>
  </si>
  <si>
    <t>Maintenance</t>
  </si>
  <si>
    <t>Usure des bandages des roues avant</t>
  </si>
  <si>
    <t>À surveiller</t>
  </si>
  <si>
    <t>Contrôle mensuel, remplacement au prochain entretien</t>
  </si>
  <si>
    <t>Type d'équipement</t>
  </si>
  <si>
    <t>Périodicité légale (mois)</t>
  </si>
  <si>
    <t>Périodicité d'usage si aucune légale (mois)</t>
  </si>
  <si>
    <t>Première échéance depuis la mise en service (mois)</t>
  </si>
  <si>
    <t>Périodicité de repli si réserve ouverte (mois)</t>
  </si>
  <si>
    <t>Périodicité</t>
  </si>
  <si>
    <t>Fondement</t>
  </si>
  <si>
    <t>Vérification</t>
  </si>
  <si>
    <t>Qui peut vérifier</t>
  </si>
  <si>
    <t>Référence</t>
  </si>
  <si>
    <t>Texte officiel</t>
  </si>
  <si>
    <t>Précisions</t>
  </si>
  <si>
    <t>6 mois</t>
  </si>
  <si>
    <t>Code du travail</t>
  </si>
  <si>
    <t>Vérification générale périodique</t>
  </si>
  <si>
    <t>Personne qualifiée, interne ou externe (R4323-24)</t>
  </si>
  <si>
    <t>Arrêté du 1er mars 2004, art. 23 a) (liste de l'art. 20 II)</t>
  </si>
  <si>
    <t>Légifrance</t>
  </si>
  <si>
    <t>Les équipements interchangeables (pince, potence, éperon) sont vérifiés avec le chariot. Nouvelle configuration : vérification de mise en service.</t>
  </si>
  <si>
    <t>Chaque accessoire (godet, potence, treuil, nacelle) est vérifié avec l'engin, après une mise en service dans cette configuration.</t>
  </si>
  <si>
    <t>Gerbeur ou transpalette à levée haute, électrique</t>
  </si>
  <si>
    <t>Le transpalette à levée basse, qui décolle juste la charge du sol, n'est pas soumis.</t>
  </si>
  <si>
    <t>Gerbeur ou transpalette à ciseaux, manuel</t>
  </si>
  <si>
    <t>Arrêté du 1er mars 2004, art. 23 a) (appareils mus à la main, art. 20 III)</t>
  </si>
  <si>
    <t>Appareil mû à la main, non conçu pour lever des personnes.</t>
  </si>
  <si>
    <t>Préparateur de commandes à poste de conduite élevable</t>
  </si>
  <si>
    <t>Arrêté du 1er mars 2004, art. 23 a)</t>
  </si>
  <si>
    <t>Le conducteur s'élève avec le poste. Un préparateur au sol à levée basse n'est pas soumis.</t>
  </si>
  <si>
    <t>Grue auxiliaire de camion</t>
  </si>
  <si>
    <t>Le contrôle technique du camion ne couvre pas la grue.</t>
  </si>
  <si>
    <t>Grue mobile sans montage de parties importantes</t>
  </si>
  <si>
    <t>Grue mobile à montage de parties importantes</t>
  </si>
  <si>
    <t>12 mois</t>
  </si>
  <si>
    <t>Arrêté du 1er mars 2004, art. 23 (cas général)</t>
  </si>
  <si>
    <t>Chaque remontage impose une vérification de remise en service complète, avec épreuves.</t>
  </si>
  <si>
    <t>Grue à tour à montage automatisé (GMA)</t>
  </si>
  <si>
    <t>Grues à tour à montage rapide ou automatisé, sur stabilisateurs.</t>
  </si>
  <si>
    <t>Grue à tour montée par éléments</t>
  </si>
  <si>
    <t>Remise en service à chaque montage. Ajoutez une ligne pour l'examen approfondi à 5 ans.</t>
  </si>
  <si>
    <t>Grue à tour montée par éléments - examen approfondi</t>
  </si>
  <si>
    <t>5 ans</t>
  </si>
  <si>
    <t>Examen approfondi</t>
  </si>
  <si>
    <t>Sous le contrôle d'un technicien hautement qualifié</t>
  </si>
  <si>
    <t>Arrêté du 3 mars 2004, art. 5</t>
  </si>
  <si>
    <t>Au plus tard tous les 5 ans, sauf si les examens prescrits par le fabricant sont tracés au carnet de maintenance. Gardez les deux derniers rapports.</t>
  </si>
  <si>
    <t>Une réinstallation sur une nouvelle voie de roulement impose une remise en service complète.</t>
  </si>
  <si>
    <t>Potence murale ou sur colonne</t>
  </si>
  <si>
    <t>12 mois même s'il circule entre chantiers, mais chaque changement de site impose une remise en service complète.</t>
  </si>
  <si>
    <t>Palan, treuil, tire-fort ou cric manuel</t>
  </si>
  <si>
    <t>Une circulaire admet 12 mois pour un palan manuel installé à demeure ; le texte dit 6 mois, à retenir en cas de doute.</t>
  </si>
  <si>
    <t>Hayon élévateur</t>
  </si>
  <si>
    <t>Le contrôle technique du véhicule ne couvre pas le hayon.</t>
  </si>
  <si>
    <t>Bras ou portique de levage pour bennes amovibles</t>
  </si>
  <si>
    <t>Monte-meubles</t>
  </si>
  <si>
    <t>Monte-matériaux de chantier</t>
  </si>
  <si>
    <t>S'il transporte des personnes, c'est un ascenseur de chantier.</t>
  </si>
  <si>
    <t>Pelle ou engin de terrassement utilisé pour le levage</t>
  </si>
  <si>
    <t>S'ajoute à la vérification annuelle de l'engin (arrêté du 5 mars 1993) : ajoutez les deux lignes.</t>
  </si>
  <si>
    <t>Tracteur poseur de canalisations</t>
  </si>
  <si>
    <t>Table élévatrice de charges</t>
  </si>
  <si>
    <t>Si un opérateur s'élève avec une table motorisée : 6 mois (ligne plate-forme de poste de travail).</t>
  </si>
  <si>
    <t>Pont élévateur de véhicules</t>
  </si>
  <si>
    <t>Manipulateur motorisé</t>
  </si>
  <si>
    <t>Les équilibreurs dont la charge est fixée en permanence ne sont pas soumis.</t>
  </si>
  <si>
    <t>Chargeur frontal de tracteur équipé pour le levage</t>
  </si>
  <si>
    <t>La vérification englobe les parties du tracteur nécessaires au levage.</t>
  </si>
  <si>
    <t>Autre appareil de levage de charges</t>
  </si>
  <si>
    <t>Cas général, pour un appareil absent des listes à 6 et 3 mois.</t>
  </si>
  <si>
    <t>Le contrôle technique du porteur ne couvre pas la nacelle.</t>
  </si>
  <si>
    <t>Plate-forme de travail sur mât (PTDM)</t>
  </si>
  <si>
    <t>Arrêté du 1er mars 2004, art. 23 a) (appareil motorisé qui élève des personnes)</t>
  </si>
  <si>
    <t>Ascenseur de chantier</t>
  </si>
  <si>
    <t>Arrêté du 1er mars 2004, art. 23 a) (appareil motorisé qui transporte des personnes)</t>
  </si>
  <si>
    <t>Plate-forme suspendue motorisée</t>
  </si>
  <si>
    <t>Relève de l'arrêté levage, pas de l'arrêté échafaudages.</t>
  </si>
  <si>
    <t>Nacelle porte-personnes sur chariot ou sur grue</t>
  </si>
  <si>
    <t>Vérifiée avec l'engin qui la porte.</t>
  </si>
  <si>
    <t>Plate-forme motorisée qui élève un poste de travail</t>
  </si>
  <si>
    <t>Appareil manuel qui élève un poste de travail</t>
  </si>
  <si>
    <t>3 mois</t>
  </si>
  <si>
    <t>Arrêté du 1er mars 2004, art. 23 b)</t>
  </si>
  <si>
    <t>Seul cas à 3 mois de l'arrêté levage : sellette ou plate-forme à treuil manuel.</t>
  </si>
  <si>
    <t>Examen de l'état de conservation</t>
  </si>
  <si>
    <t>Arrêté du 1er mars 2004, art. 24</t>
  </si>
  <si>
    <t>Un lot d'élingues peut tenir sur une ligne (quantité) s'il est vérifié à la même date ; chaque élingue garde son marquage.</t>
  </si>
  <si>
    <t>Manille, crochet ou anneau de levage</t>
  </si>
  <si>
    <t>Les anneaux soudés ou noyés dans la charge ne sont pas des accessoires.</t>
  </si>
  <si>
    <t>Palonnier, pince, aimant ou ventouse de levage</t>
  </si>
  <si>
    <t>Palonnier fabriqué par l'entreprise : épreuve statique à la mise en service.</t>
  </si>
  <si>
    <t>Presse motorisée chargée à la main (métaux, plastiques, emporte-pièce)</t>
  </si>
  <si>
    <t>Arrêté du 5 mars 1993, art. 1er</t>
  </si>
  <si>
    <t>Seulement si la presse est motorisée et chargée ou déchargée à la main. La vérification doit dater de moins de 3 mois au moment de l'utilisation.</t>
  </si>
  <si>
    <t>Massicot motorisé chargé à la main</t>
  </si>
  <si>
    <t>Pas d'exception pour les massicots de bureau. Très peu utilisé et muni d'un compteur : toutes les 300 heures admis, au moins une fois par an (note technique de 1995).</t>
  </si>
  <si>
    <t>Compacteur à déchets ou presse à balles</t>
  </si>
  <si>
    <t>Seulement s'il est motorisé et chargé à la main.</t>
  </si>
  <si>
    <t>Compactage de benne à ordures ménagères</t>
  </si>
  <si>
    <t>Vise le système de compactage, les lève-conteneurs et leurs commandes ; le camion relève du code de la route.</t>
  </si>
  <si>
    <t>Machine à cylindres (industrie du caoutchouc)</t>
  </si>
  <si>
    <t>Centrifugeuse</t>
  </si>
  <si>
    <t>Arrêté du 5 mars 1993, art. 2</t>
  </si>
  <si>
    <t>Non soumise si le panier fait 400 mm au plus et l'énergie cinétique 1 500 J au plus (note technique de 1995).</t>
  </si>
  <si>
    <t>Élagueuse à mât isolant - vérification type A</t>
  </si>
  <si>
    <t>Vérification périodique de type A</t>
  </si>
  <si>
    <t>Personne qualifiée et habilitée</t>
  </si>
  <si>
    <t>Arrêté du 5 juillet 2024, art. 8</t>
  </si>
  <si>
    <t>Élagage près des lignes électriques aériennes. L'année de la type B, celle-ci remplace la type A.</t>
  </si>
  <si>
    <t>Élagueuse à mât isolant - vérification type B</t>
  </si>
  <si>
    <t>Vérification périodique de type B</t>
  </si>
  <si>
    <t>Arrêté du 5 juillet 2024, art. 9</t>
  </si>
  <si>
    <t>Gardez les deux derniers rapports de type B.</t>
  </si>
  <si>
    <t>Pelle hydraulique ou mini-pelle</t>
  </si>
  <si>
    <t>Engin à conducteur porté. S'il lève des charges, ajoutez la ligne levage à 6 mois. Établissements agricoles : arrêté du 24 juin 1993, mêmes règles.</t>
  </si>
  <si>
    <t>Chargeuse, chargeuse-pelleteuse ou mini-chargeuse</t>
  </si>
  <si>
    <t>Engin à conducteur porté. S'il lève des charges, ajoutez la ligne levage à 6 mois.</t>
  </si>
  <si>
    <t>Compacteur de sol à conducteur porté</t>
  </si>
  <si>
    <t>Engin à conducteur porté. Plaques vibrantes et rouleaux à conducteur accompagnant ne sont pas visés.</t>
  </si>
  <si>
    <t>Bouteur, niveleuse ou décapeuse</t>
  </si>
  <si>
    <t>Engin à conducteur porté.</t>
  </si>
  <si>
    <t>Tombereau ou dumper</t>
  </si>
  <si>
    <t>Foreuse ou sondeuse à conducteur porté</t>
  </si>
  <si>
    <t>Machine à battre les palplanches</t>
  </si>
  <si>
    <t>Échafaudage (de pied, roulant ou autre) - examen trimestriel</t>
  </si>
  <si>
    <t>Examen approfondi de l'état de conservation</t>
  </si>
  <si>
    <t>Personne qualifiée désignée par l'employeur</t>
  </si>
  <si>
    <t>Arrêté du 21 décembre 2004, art. 6</t>
  </si>
  <si>
    <t>S'ajoutent un examen quotidien et une vérification avant remise en service après un mois d'interruption ou des intempéries.</t>
  </si>
  <si>
    <t>Plate-forme individuelle roulante (PIR, PIRL)</t>
  </si>
  <si>
    <t>Aucune fixée par la loi (usage : 12 mois)</t>
  </si>
  <si>
    <t>Recommandation OPPBTP, pas une obligation légale</t>
  </si>
  <si>
    <t>Vérification de l'état de conservation</t>
  </si>
  <si>
    <t>Personne compétente désignée</t>
  </si>
  <si>
    <t>Code du travail, R4322-1 ; recommandation OPPBTP (usage, pas une obligation légale)</t>
  </si>
  <si>
    <t>Hors arrêté échafaudages. L'OPPBTP recommande une vérification au moins tous les 12 mois.</t>
  </si>
  <si>
    <t>Organisme accrédité ou personne qualifiée interne</t>
  </si>
  <si>
    <t>Arrêté du 26 décembre 2011, art. 3</t>
  </si>
  <si>
    <t>Pour passer à 2 ans, choisissez la ligne suivante, seulement si ses conditions sont remplies.</t>
  </si>
  <si>
    <t>Installation électrique - 2 ans (conditions remplies)</t>
  </si>
  <si>
    <t>2 ans</t>
  </si>
  <si>
    <t>Rapport précédent sans observation, ou travaux faits avant l'échéance, et inspecteur du travail informé par lettre recommandée. Une observation non levée ramène à 1 an.</t>
  </si>
  <si>
    <t>Installation électrique temporaire de chantier</t>
  </si>
  <si>
    <t>Arrêté du 26 décembre 2011, annexe IV</t>
  </si>
  <si>
    <t>Annuelle sur les chantiers de longue durée, notion que le texte ne définit pas. S'ajoute à la vérification initiale.</t>
  </si>
  <si>
    <t>Éclairage de sécurité - contrôle d'autonomie</t>
  </si>
  <si>
    <t>Vérification de fonctionnement</t>
  </si>
  <si>
    <t>Employeur ou personne désignée</t>
  </si>
  <si>
    <t>Arrêté du 14 décembre 2011, art. 11</t>
  </si>
  <si>
    <t>S'ajoute un essai de fonctionnement mensuel.</t>
  </si>
  <si>
    <t>Exercice d'évacuation incendie</t>
  </si>
  <si>
    <t>Exercice</t>
  </si>
  <si>
    <t>Code du travail, R4227-39</t>
  </si>
  <si>
    <t>Obligatoire au-delà de 50 personnes ou en présence de matières inflammables. Date et observations au registre.</t>
  </si>
  <si>
    <t>Alarme sonore incendie - essai</t>
  </si>
  <si>
    <t>Essai de fonctionnement</t>
  </si>
  <si>
    <t>Mêmes établissements que l'exercice. Consignez l'essai au registre.</t>
  </si>
  <si>
    <t>Norme, pas une obligation légale</t>
  </si>
  <si>
    <t>Vérification annuelle (maintenance)</t>
  </si>
  <si>
    <t>Entreprise de maintenance qualifiée</t>
  </si>
  <si>
    <t>Code du travail, R4227-29 ; norme NF S 61-919 (usage, pas une obligation légale)</t>
  </si>
  <si>
    <t>Le Code du travail exige des extincteurs en bon état sans fixer de périodicité : l'annuel vient de la norme et des assureurs. En ERP, il est obligatoire.</t>
  </si>
  <si>
    <t>Extincteur CO2 - requalification</t>
  </si>
  <si>
    <t>10 ans</t>
  </si>
  <si>
    <t>Code de l'environnement</t>
  </si>
  <si>
    <t>Requalification périodique</t>
  </si>
  <si>
    <t>Expert d'un organisme habilité</t>
  </si>
  <si>
    <t>Arrêté du 20 novembre 2017, art. 18</t>
  </si>
  <si>
    <t>Au premier rechargement plus de 6 ans après la précédente, et au plus tard tous les 10 ans.</t>
  </si>
  <si>
    <t>Robinets d'incendie armés (RIA)</t>
  </si>
  <si>
    <t>Règle d'assureur, pas une obligation légale</t>
  </si>
  <si>
    <t>Vérification et maintenance</t>
  </si>
  <si>
    <t>Code du travail, R4224-17 ; règle APSAD R5 (usage, pas une obligation légale)</t>
  </si>
  <si>
    <t>Hors ERP, pas de périodicité légale : l'annuel vient de la règle APSAD R5.</t>
  </si>
  <si>
    <t>Ventilation mécanique - local sans pollution spécifique</t>
  </si>
  <si>
    <t>Contrôle périodique</t>
  </si>
  <si>
    <t>Employeur (personne compétente)</t>
  </si>
  <si>
    <t>Arrêté du 8 octobre 1987, art. 3</t>
  </si>
  <si>
    <t>Résultats portés au dossier de maintenance de l'installation.</t>
  </si>
  <si>
    <t>Captage et ventilation - local à pollution spécifique</t>
  </si>
  <si>
    <t>Arrêté du 8 octobre 1987, art. 4</t>
  </si>
  <si>
    <t>Si l'air est recyclé, ajoutez la ligne semestrielle.</t>
  </si>
  <si>
    <t>Ventilation avec recyclage de l'air - contrôle semestriel</t>
  </si>
  <si>
    <t>En plus du contrôle annuel.</t>
  </si>
  <si>
    <t>Porte ou portail automatique ou semi-automatique</t>
  </si>
  <si>
    <t>Entretien et vérification</t>
  </si>
  <si>
    <t>Technicien formé ou prestataire sous contrat écrit</t>
  </si>
  <si>
    <t>Arrêté du 21 décembre 1993, art. 9</t>
  </si>
  <si>
    <t>Au minimum tous les 6 mois et après toute défaillance. Livret d'entretien obligatoire.</t>
  </si>
  <si>
    <t>Ascenseur installé à demeure</t>
  </si>
  <si>
    <t>Arrêté du 29 décembre 2010, art. 6</t>
  </si>
  <si>
    <t>Dispensé l'année du contrôle technique quinquennal (Code de la construction) : saisissez alors la date de ce contrôle.</t>
  </si>
  <si>
    <t>Monte-charge installé à demeure</t>
  </si>
  <si>
    <t>Pas de contrôle quinquennal : vérification chaque année.</t>
  </si>
  <si>
    <t>Réservoir d'air comprimé - inspection périodique</t>
  </si>
  <si>
    <t>4 ans</t>
  </si>
  <si>
    <t>Inspection périodique</t>
  </si>
  <si>
    <t>Personne compétente désignée par l'exploitant</t>
  </si>
  <si>
    <t>Arrêté du 20 novembre 2017, art. 15</t>
  </si>
  <si>
    <t>Soumis seulement si la pression maximale de la plaque dépasse 4 bar et si pression x volume dépasse 200 bar.L (24 L à 10 bar : soumis ; 24 L à 8 bar : non). Première inspection au plus tard 3 ans après la mise en service.</t>
  </si>
  <si>
    <t>Réservoir d'air comprimé - requalification</t>
  </si>
  <si>
    <t>Mêmes seuils. Tient lieu d'inspection périodique l'année où elle a lieu.</t>
  </si>
  <si>
    <t>Générateur de vapeur - inspection périodique</t>
  </si>
  <si>
    <t>Générateurs de plus de 25 litres.</t>
  </si>
  <si>
    <t>Générateur de vapeur - requalification</t>
  </si>
  <si>
    <t>Personne qualifiée, interne ou externe (R4323-99 à R4323-102)</t>
  </si>
  <si>
    <t>Arrêté du 19 mars 1993, art. 1er</t>
  </si>
  <si>
    <t>Stock compris : un EPI vérifié il y a plus de 12 mois ne doit plus être remis à un salarié. Neuf : première vérification au plus tard 12 mois après la mise en service (pratique courante).</t>
  </si>
  <si>
    <t>Appareil respiratoire autonome d'évacuation</t>
  </si>
  <si>
    <t>Les masques FFP et les masques à cartouches du travail courant ne sont pas soumis.</t>
  </si>
  <si>
    <t>Appareil respiratoire d'intervention en milieu hostile</t>
  </si>
  <si>
    <t>Usage d'urgence ou d'intervention, pas un appareil porté au travail courant.</t>
  </si>
  <si>
    <t>Gilet de sauvetage gonflable</t>
  </si>
  <si>
    <t>Les gilets en mousse ne sont pas visés.</t>
  </si>
  <si>
    <t>Stock de cartouches filtrantes antigaz</t>
  </si>
  <si>
    <t>Seul le stock est visé, pas les cartouches montées ni les filtres anti-poussières.</t>
  </si>
  <si>
    <t>Ligne de vie ou ancrage fixe</t>
  </si>
  <si>
    <t>Recommandation CNAM, pas une obligation légale</t>
  </si>
  <si>
    <t>Personne compétente, interne ou prestataire</t>
  </si>
  <si>
    <t>Code du travail, R4224-17 ; recommandation CNAM R 430 (usage, pas une obligation légale)</t>
  </si>
  <si>
    <t>Aucun texte ne fixe de périodicité : la recommandation R 430 et les notices préconisent un an. Un ancrage amovible est un EPI : ligne harnais, 12 mois.</t>
  </si>
  <si>
    <t>Cuve ou bassin de produits corrosifs</t>
  </si>
  <si>
    <t>Visite périodique</t>
  </si>
  <si>
    <t>Personne qualifiée</t>
  </si>
  <si>
    <t>Code du travail, R4412-25</t>
  </si>
  <si>
    <t>À intervalles n'excédant pas un an.</t>
  </si>
  <si>
    <t>Source ou appareil émettant des rayonnements ionisants</t>
  </si>
  <si>
    <t>Conseiller en radioprotection</t>
  </si>
  <si>
    <t>Arrêté du 23 octobre 2020, art. 7</t>
  </si>
  <si>
    <t>L'employeur fixe la périodicité dans son programme de vérifications, un an au maximum.</t>
  </si>
  <si>
    <t>Rayonnages et racks de stockage</t>
  </si>
  <si>
    <t>Inspection experte</t>
  </si>
  <si>
    <t>Personne techniquement compétente</t>
  </si>
  <si>
    <t>Code du travail, R4322-1 ; norme NF EN 15635 (usage, pas une obligation légale)</t>
  </si>
  <si>
    <t>Pas de vérification légale : la norme prévoit une inspection experte au moins tous les 12 mois.</t>
  </si>
  <si>
    <t>Autre équipement (saisir la périodicité)</t>
  </si>
  <si>
    <t>À saisir</t>
  </si>
  <si>
    <t>Notice du fabricant ou règle interne</t>
  </si>
  <si>
    <t>Pour un équipement absent de la liste : saisissez sa périodicité dans la colonne notice ou règle interne.</t>
  </si>
  <si>
    <t>NON SOUMIS À VÉRIFICATION PÉRIODIQUE AU TITRE DE CES TEXTES (à ne pas confondre)</t>
  </si>
  <si>
    <t>Pourquoi</t>
  </si>
  <si>
    <t>À savoir</t>
  </si>
  <si>
    <t>Transpalette à levée basse (manuel ou électrique)</t>
  </si>
  <si>
    <t>Il décolle seulement la charge du sol : ce n'est pas un appareil de levage au sens de l'arrêté.</t>
  </si>
  <si>
    <t>Arrêté du 1er mars 2004, art. 2 et annexe</t>
  </si>
  <si>
    <t>Maintien en bon état et contrôle à la prise de poste.</t>
  </si>
  <si>
    <t>Mât de pompe à béton</t>
  </si>
  <si>
    <t>Exclu de l'arrêté levage.</t>
  </si>
  <si>
    <t>Arrêté du 1er mars 2004, annexe</t>
  </si>
  <si>
    <t>Maintien en état selon la notice.</t>
  </si>
  <si>
    <t>Camion benne ou engin à benne basculante</t>
  </si>
  <si>
    <t>Exclu, sauf s'il est monté sur un mécanisme élévateur.</t>
  </si>
  <si>
    <t>Convoyeur ou basculeur associé à une machine</t>
  </si>
  <si>
    <t>Équilibreur dont la charge est fixée en permanence</t>
  </si>
  <si>
    <t>Presse pneumatique ou à chaud, cisaille, poinçonneuse, cintreuse</t>
  </si>
  <si>
    <t>Absentes de la liste de l'arrêté (note technique de 1995).</t>
  </si>
  <si>
    <t>Vérifiez les protecteurs après chaque démontage ; périodicité à fixer par l'employeur.</t>
  </si>
  <si>
    <t>Presse ou massicot à chargement automatique, ou mû à la main</t>
  </si>
  <si>
    <t>La condition de l'arrêté (motorisé et chargé à la main) n'est pas remplie.</t>
  </si>
  <si>
    <t>Plaque vibrante, pilonneuse, rouleau à conducteur accompagnant</t>
  </si>
  <si>
    <t>Pas à conducteur porté (note technique de 1995).</t>
  </si>
  <si>
    <t>Échelle, escabeau, marchepied</t>
  </si>
  <si>
    <t>Aucune périodicité réglementaire.</t>
  </si>
  <si>
    <t>Code du travail, R4534-15</t>
  </si>
  <si>
    <t>Examen avant utilisation ; dans le BTP, examen avant mise en service.</t>
  </si>
  <si>
    <t>Porte ou portail manuel</t>
  </si>
  <si>
    <t>Entretenu et contrôlé régulièrement, sans périodicité chiffrée.</t>
  </si>
  <si>
    <t>Code du travail, R4224-12</t>
  </si>
  <si>
    <t>Une vérification annuelle est une pratique, pas une obligation.</t>
  </si>
  <si>
    <t>Cuve de fioul ou de gazole (hors ICPE et hors ERP)</t>
  </si>
  <si>
    <t>Essai d'étanchéité avant la première mise en service, puis entretien, sans périodicité chiffrée.</t>
  </si>
  <si>
    <t>Arrêté du 1er juillet 2004, art. 24 et 27</t>
  </si>
  <si>
    <t>Désenfumage d'un lieu de travail hors ERP</t>
  </si>
  <si>
    <t>Pas de périodicité chiffrée : contrôle avant mise en service, puis vérification « suivant une périodicité appropriée » (R4224-17).</t>
  </si>
  <si>
    <t>Arrêté du 5 août 1992, art. 15</t>
  </si>
  <si>
    <t>Les assureurs (règle APSAD R17) demandent un contrôle annuel.</t>
  </si>
  <si>
    <t>Masques FFP, demi-masques et masques à cartouches du travail courant</t>
  </si>
  <si>
    <t>Absents de la liste des EPI soumis à vérification.</t>
  </si>
  <si>
    <t>Seuls les stocks de cartouches antigaz sont visés.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</si>
</sst>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mmmm yyyy"/>
    <numFmt numFmtId="166" formatCode="0;-0;&quot;-&quot;"/>
  </numFmts>
  <fonts count="13" x14ac:knownFonts="1">
    <font>
      <color theme="1"/>
      <family val="2"/>
      <scheme val="minor"/>
      <sz val="11"/>
      <name val="Calibri"/>
    </font>
    <font>
      <b/>
      <color rgb="FF1A2230"/>
      <sz val="16"/>
    </font>
    <font>
      <color rgb="FF333A47"/>
      <sz val="11"/>
    </font>
    <font>
      <b/>
      <color rgb="FF1A2230"/>
      <sz val="12"/>
    </font>
    <font>
      <color rgb="FF333A47"/>
      <sz val="10"/>
    </font>
    <font>
      <b/>
      <color rgb="FF1A2230"/>
      <sz val="14"/>
    </font>
    <font>
      <b/>
      <color rgb="FF1A2230"/>
    </font>
    <font>
      <b/>
      <color rgb="FFFFFFFF"/>
      <sz val="11"/>
    </font>
    <font>
      <b/>
      <color rgb="FF9C0006"/>
    </font>
    <font>
      <b/>
    </font>
    <font>
      <i/>
      <color rgb="FF6B7280"/>
      <sz val="9"/>
    </font>
    <font>
      <u/>
      <color rgb="FF2563EB"/>
    </font>
    <font>
      <i/>
      <color rgb="FF8A5A00"/>
    </font>
  </fonts>
  <fills count="5">
    <fill>
      <patternFill patternType="none"/>
    </fill>
    <fill>
      <patternFill patternType="gray125"/>
    </fill>
    <fill>
      <patternFill patternType="solid">
        <fgColor rgb="FF1A2230"/>
      </patternFill>
    </fill>
    <fill>
      <patternFill patternType="solid">
        <fgColor rgb="FFE8F0FE"/>
      </patternFill>
    </fill>
    <fill>
      <patternFill patternType="solid">
        <fgColor rgb="FFB9C2D0"/>
      </patternFill>
    </fill>
  </fills>
  <borders count="2">
    <border>
      <left/>
      <right/>
      <top/>
      <bottom/>
      <diagonal/>
    </border>
    <border>
      <left style="thin">
        <color rgb="FFD0D5DD"/>
      </left>
      <right style="thin">
        <color rgb="FFD0D5DD"/>
      </right>
      <top style="thin">
        <color rgb="FFD0D5DD"/>
      </top>
      <bottom style="thin">
        <color rgb="FFD0D5DD"/>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164" fontId="0" fillId="0" borderId="0" xfId="0" applyNumberFormat="1"/>
    <xf numFmtId="0" fontId="7" fillId="2" borderId="1" xfId="0" applyFont="1" applyFill="1" applyBorder="1" applyAlignment="1">
      <alignment horizontal="center" vertical="center" wrapText="1"/>
    </xf>
    <xf numFmtId="0" fontId="0" fillId="3" borderId="1" xfId="0" applyFill="1" applyBorder="1" applyAlignment="1" applyProtection="1">
      <alignment vertical="top" wrapText="1"/>
      <protection locked="0"/>
    </xf>
    <xf numFmtId="0" fontId="8" fillId="0" borderId="1" xfId="0" applyFont="1" applyBorder="1"/>
    <xf numFmtId="0" fontId="0" fillId="0" borderId="1" xfId="0" applyBorder="1" applyAlignment="1">
      <alignment horizontal="center"/>
    </xf>
    <xf numFmtId="0" fontId="0" fillId="0" borderId="1" xfId="0" applyBorder="1"/>
    <xf numFmtId="164" fontId="0" fillId="0" borderId="1" xfId="0" applyNumberFormat="1" applyBorder="1"/>
    <xf numFmtId="165" fontId="0" fillId="0" borderId="1" xfId="0" applyNumberFormat="1" applyBorder="1"/>
    <xf numFmtId="1" fontId="9" fillId="0" borderId="1" xfId="0" applyNumberFormat="1" applyFont="1" applyBorder="1" applyAlignment="1">
      <alignment horizontal="center"/>
    </xf>
    <xf numFmtId="9" fontId="9" fillId="0" borderId="1" xfId="0" applyNumberFormat="1" applyFont="1" applyBorder="1" applyAlignment="1">
      <alignment horizontal="center"/>
    </xf>
    <xf numFmtId="0" fontId="10" fillId="0" borderId="0" xfId="0" applyFont="1"/>
    <xf numFmtId="0" fontId="7" fillId="4" borderId="1" xfId="0" applyFont="1" applyFill="1" applyBorder="1" applyAlignment="1">
      <alignment horizontal="center" vertical="center" wrapText="1"/>
    </xf>
    <xf numFmtId="164" fontId="0" fillId="0" borderId="1" xfId="0" applyNumberFormat="1" applyBorder="1" applyAlignment="1" applyProtection="1">
      <alignment horizontal="center" vertical="top"/>
    </xf>
    <xf numFmtId="0" fontId="0" fillId="0" borderId="1" xfId="0" applyBorder="1" applyAlignment="1" applyProtection="1">
      <alignment vertical="top" wrapText="1"/>
    </xf>
    <xf numFmtId="1" fontId="0" fillId="0" borderId="1" xfId="0" applyNumberFormat="1" applyBorder="1" applyAlignment="1" applyProtection="1">
      <alignment horizontal="center" vertical="top"/>
    </xf>
    <xf numFmtId="0" fontId="0" fillId="0" borderId="1" xfId="0" applyBorder="1" applyAlignment="1" applyProtection="1">
      <alignment horizontal="center" vertical="top"/>
    </xf>
    <xf numFmtId="0" fontId="0" fillId="3" borderId="1" xfId="0" applyFill="1" applyBorder="1" applyAlignment="1" applyProtection="1">
      <alignment horizontal="center" vertical="top"/>
      <protection locked="0"/>
    </xf>
    <xf numFmtId="164" fontId="0" fillId="3" borderId="1" xfId="0" applyNumberFormat="1" applyFill="1" applyBorder="1" applyAlignment="1" applyProtection="1">
      <alignment vertical="top" wrapText="1"/>
      <protection locked="0"/>
    </xf>
    <xf numFmtId="0" fontId="9" fillId="0" borderId="1" xfId="0" applyFont="1" applyBorder="1" applyAlignment="1">
      <alignment vertical="top" wrapText="1"/>
    </xf>
    <xf numFmtId="0" fontId="0" fillId="0" borderId="1" xfId="0" applyBorder="1" applyAlignment="1">
      <alignment vertical="top" wrapText="1"/>
    </xf>
    <xf numFmtId="166" fontId="0" fillId="0" borderId="1" xfId="0" applyNumberFormat="1" applyBorder="1" applyAlignment="1">
      <alignment horizontal="center"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3" fillId="0" borderId="0" xfId="0" applyFont="1"/>
  </cellXfs>
  <cellStyles count="1">
    <cellStyle name="Normal" xfId="0" builtinId="0"/>
  </cellStyles>
  <dxfs count="42">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8A5A00"/>
      </font>
      <fill>
        <patternFill patternType="solid">
          <bgColor rgb="FFFDF2DC"/>
        </patternFill>
      </fill>
    </dxf>
    <dxf>
      <font>
        <b/>
        <color rgb="FF8A5A00"/>
      </font>
      <fill>
        <patternFill patternType="solid">
          <bgColor rgb="FFFDF2DC"/>
        </patternFill>
      </fill>
    </dxf>
    <dxf>
      <font>
        <b/>
        <color rgb="FF8A5A00"/>
      </font>
      <fill>
        <patternFill patternType="solid">
          <bgColor rgb="FFFDF2DC"/>
        </patternFill>
      </fill>
    </dxf>
    <dxf>
      <font>
        <b/>
        <color rgb="FF8A5A00"/>
      </font>
      <fill>
        <patternFill patternType="solid">
          <bgColor rgb="FFFDF2DC"/>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8A5A00"/>
      </font>
      <fill>
        <patternFill patternType="solid">
          <bgColor rgb="FFFDF2DC"/>
        </patternFill>
      </fill>
    </dxf>
    <dxf>
      <font>
        <b/>
        <color rgb="FF1F7A44"/>
      </font>
      <fill>
        <patternFill patternType="solid">
          <bgColor rgb="FFCDEBD8"/>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8A5A00"/>
      </font>
      <fill>
        <patternFill patternType="solid">
          <bgColor rgb="FFFDF2DC"/>
        </patternFill>
      </fill>
    </dxf>
    <dxf>
      <font>
        <b/>
        <color rgb="FF8A5A00"/>
      </font>
      <fill>
        <patternFill patternType="solid">
          <bgColor rgb="FFFDF2DC"/>
        </patternFill>
      </fill>
    </dxf>
    <dxf>
      <font>
        <b/>
        <color rgb="FF8A5A00"/>
      </font>
      <fill>
        <patternFill patternType="solid">
          <bgColor rgb="FFFDF2DC"/>
        </patternFill>
      </fill>
    </dxf>
    <dxf>
      <font>
        <b/>
        <color rgb="FF8A5A00"/>
      </font>
      <fill>
        <patternFill patternType="solid">
          <bgColor rgb="FFFDF2DC"/>
        </patternFill>
      </fill>
    </dxf>
    <dxf>
      <font>
        <b/>
        <color rgb="FF1F7A44"/>
      </font>
      <fill>
        <patternFill patternType="solid">
          <bgColor rgb="FFCDEBD8"/>
        </patternFill>
      </fill>
    </dxf>
    <dxf>
      <font>
        <b/>
        <color rgb="FF6B7280"/>
      </font>
      <fill>
        <patternFill patternType="solid">
          <bgColor rgb="FFEDEFF2"/>
        </patternFill>
      </fill>
    </dxf>
    <dxf>
      <font>
        <b/>
        <color rgb="FF6B7280"/>
      </font>
      <fill>
        <patternFill patternType="solid">
          <bgColor rgb="FFEDEFF2"/>
        </patternFill>
      </fill>
    </dxf>
    <dxf>
      <font>
        <b/>
        <color rgb="FF6B7280"/>
      </font>
      <fill>
        <patternFill patternType="solid">
          <bgColor rgb="FFEDEFF2"/>
        </patternFill>
      </fill>
    </dxf>
    <dxf>
      <font>
        <b/>
        <color rgb="FF9C0006"/>
      </font>
      <fill>
        <patternFill patternType="solid">
          <bgColor rgb="FFFFC7CE"/>
        </patternFill>
      </fill>
    </dxf>
    <dxf>
      <font>
        <b/>
        <color rgb="FF9C0006"/>
        <strike/>
      </font>
      <fill>
        <patternFill patternType="solid">
          <bgColor rgb="FFFFC7CE"/>
        </patternFill>
      </fill>
    </dxf>
    <dxf>
      <font>
        <b/>
        <color rgb="FF8A5A00"/>
      </font>
      <fill>
        <patternFill patternType="solid">
          <bgColor rgb="FFFDF2DC"/>
        </patternFill>
      </fill>
    </dxf>
    <dxf>
      <font>
        <b/>
        <color rgb="FF9C0006"/>
      </font>
      <fill>
        <patternFill patternType="solid">
          <bgColor rgb="FFFFC7CE"/>
        </patternFill>
      </fill>
    </dxf>
    <dxf>
      <font>
        <b/>
        <color rgb="FF9C0006"/>
      </font>
    </dxf>
    <dxf>
      <font>
        <b/>
        <color rgb="FF9C0006"/>
      </font>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8A5A00"/>
      </font>
      <fill>
        <patternFill patternType="solid">
          <bgColor rgb="FFFDF2DC"/>
        </patternFill>
      </fill>
    </dxf>
    <dxf>
      <font>
        <b/>
        <color rgb="FF1F7A44"/>
      </font>
      <fill>
        <patternFill patternType="solid">
          <bgColor rgb="FFCDEBD8"/>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s://www.legifrance.gouv.fr/loda/article_lc/LEGIARTI000006680469" TargetMode="External"/><Relationship Id="rId2" Type="http://schemas.openxmlformats.org/officeDocument/2006/relationships/hyperlink" Target="https://www.legifrance.gouv.fr/loda/article_lc/LEGIARTI000006680469" TargetMode="External"/><Relationship Id="rId3" Type="http://schemas.openxmlformats.org/officeDocument/2006/relationships/hyperlink" Target="https://www.legifrance.gouv.fr/loda/article_lc/LEGIARTI000006680469" TargetMode="External"/><Relationship Id="rId4" Type="http://schemas.openxmlformats.org/officeDocument/2006/relationships/hyperlink" Target="https://www.legifrance.gouv.fr/loda/article_lc/LEGIARTI000006680469" TargetMode="External"/><Relationship Id="rId5" Type="http://schemas.openxmlformats.org/officeDocument/2006/relationships/hyperlink" Target="https://www.legifrance.gouv.fr/loda/article_lc/LEGIARTI000006680469" TargetMode="External"/><Relationship Id="rId6" Type="http://schemas.openxmlformats.org/officeDocument/2006/relationships/hyperlink" Target="https://www.legifrance.gouv.fr/loda/article_lc/LEGIARTI000006680469" TargetMode="External"/><Relationship Id="rId7" Type="http://schemas.openxmlformats.org/officeDocument/2006/relationships/hyperlink" Target="https://www.legifrance.gouv.fr/loda/article_lc/LEGIARTI000006680469" TargetMode="External"/><Relationship Id="rId8" Type="http://schemas.openxmlformats.org/officeDocument/2006/relationships/hyperlink" Target="https://www.legifrance.gouv.fr/loda/article_lc/LEGIARTI000006680469" TargetMode="External"/><Relationship Id="rId9" Type="http://schemas.openxmlformats.org/officeDocument/2006/relationships/hyperlink" Target="https://www.legifrance.gouv.fr/loda/article_lc/LEGIARTI000006680469" TargetMode="External"/><Relationship Id="rId10" Type="http://schemas.openxmlformats.org/officeDocument/2006/relationships/hyperlink" Target="https://www.legifrance.gouv.fr/loda/article_lc/LEGIARTI000006680469" TargetMode="External"/><Relationship Id="rId11" Type="http://schemas.openxmlformats.org/officeDocument/2006/relationships/hyperlink" Target="https://www.legifrance.gouv.fr/loda/article_lc/LEGIARTI000006230015" TargetMode="External"/><Relationship Id="rId12" Type="http://schemas.openxmlformats.org/officeDocument/2006/relationships/hyperlink" Target="https://www.legifrance.gouv.fr/loda/article_lc/LEGIARTI000006680469" TargetMode="External"/><Relationship Id="rId13" Type="http://schemas.openxmlformats.org/officeDocument/2006/relationships/hyperlink" Target="https://www.legifrance.gouv.fr/loda/article_lc/LEGIARTI000006680469" TargetMode="External"/><Relationship Id="rId14" Type="http://schemas.openxmlformats.org/officeDocument/2006/relationships/hyperlink" Target="https://www.legifrance.gouv.fr/loda/article_lc/LEGIARTI000006680469" TargetMode="External"/><Relationship Id="rId15" Type="http://schemas.openxmlformats.org/officeDocument/2006/relationships/hyperlink" Target="https://www.legifrance.gouv.fr/loda/article_lc/LEGIARTI000006680469" TargetMode="External"/><Relationship Id="rId16" Type="http://schemas.openxmlformats.org/officeDocument/2006/relationships/hyperlink" Target="https://www.legifrance.gouv.fr/loda/article_lc/LEGIARTI000006680469" TargetMode="External"/><Relationship Id="rId17" Type="http://schemas.openxmlformats.org/officeDocument/2006/relationships/hyperlink" Target="https://www.legifrance.gouv.fr/loda/article_lc/LEGIARTI000006680469" TargetMode="External"/><Relationship Id="rId18" Type="http://schemas.openxmlformats.org/officeDocument/2006/relationships/hyperlink" Target="https://www.legifrance.gouv.fr/loda/article_lc/LEGIARTI000006680469" TargetMode="External"/><Relationship Id="rId19" Type="http://schemas.openxmlformats.org/officeDocument/2006/relationships/hyperlink" Target="https://www.legifrance.gouv.fr/loda/article_lc/LEGIARTI000006680469" TargetMode="External"/><Relationship Id="rId20" Type="http://schemas.openxmlformats.org/officeDocument/2006/relationships/hyperlink" Target="https://www.legifrance.gouv.fr/loda/article_lc/LEGIARTI000006680469" TargetMode="External"/><Relationship Id="rId21" Type="http://schemas.openxmlformats.org/officeDocument/2006/relationships/hyperlink" Target="https://www.legifrance.gouv.fr/loda/article_lc/LEGIARTI000006680469" TargetMode="External"/><Relationship Id="rId22" Type="http://schemas.openxmlformats.org/officeDocument/2006/relationships/hyperlink" Target="https://www.legifrance.gouv.fr/loda/article_lc/LEGIARTI000006680469" TargetMode="External"/><Relationship Id="rId23" Type="http://schemas.openxmlformats.org/officeDocument/2006/relationships/hyperlink" Target="https://www.legifrance.gouv.fr/loda/article_lc/LEGIARTI000006680469" TargetMode="External"/><Relationship Id="rId24" Type="http://schemas.openxmlformats.org/officeDocument/2006/relationships/hyperlink" Target="https://www.legifrance.gouv.fr/loda/article_lc/LEGIARTI000006680469" TargetMode="External"/><Relationship Id="rId25" Type="http://schemas.openxmlformats.org/officeDocument/2006/relationships/hyperlink" Target="https://www.legifrance.gouv.fr/loda/article_lc/LEGIARTI000006680469" TargetMode="External"/><Relationship Id="rId26" Type="http://schemas.openxmlformats.org/officeDocument/2006/relationships/hyperlink" Target="https://www.legifrance.gouv.fr/loda/article_lc/LEGIARTI000006680469" TargetMode="External"/><Relationship Id="rId27" Type="http://schemas.openxmlformats.org/officeDocument/2006/relationships/hyperlink" Target="https://www.legifrance.gouv.fr/loda/article_lc/LEGIARTI000006680469" TargetMode="External"/><Relationship Id="rId28" Type="http://schemas.openxmlformats.org/officeDocument/2006/relationships/hyperlink" Target="https://www.legifrance.gouv.fr/loda/article_lc/LEGIARTI000006680469" TargetMode="External"/><Relationship Id="rId29" Type="http://schemas.openxmlformats.org/officeDocument/2006/relationships/hyperlink" Target="https://www.legifrance.gouv.fr/loda/article_lc/LEGIARTI000006680469" TargetMode="External"/><Relationship Id="rId30" Type="http://schemas.openxmlformats.org/officeDocument/2006/relationships/hyperlink" Target="https://www.legifrance.gouv.fr/loda/article_lc/LEGIARTI000006680469" TargetMode="External"/><Relationship Id="rId31" Type="http://schemas.openxmlformats.org/officeDocument/2006/relationships/hyperlink" Target="https://www.legifrance.gouv.fr/loda/article_lc/LEGIARTI000006680469" TargetMode="External"/><Relationship Id="rId32" Type="http://schemas.openxmlformats.org/officeDocument/2006/relationships/hyperlink" Target="https://www.legifrance.gouv.fr/loda/article_lc/LEGIARTI000006680469" TargetMode="External"/><Relationship Id="rId33" Type="http://schemas.openxmlformats.org/officeDocument/2006/relationships/hyperlink" Target="https://www.legifrance.gouv.fr/loda/article_lc/LEGIARTI000006680469" TargetMode="External"/><Relationship Id="rId34" Type="http://schemas.openxmlformats.org/officeDocument/2006/relationships/hyperlink" Target="https://www.legifrance.gouv.fr/loda/article_lc/LEGIARTI000032078725" TargetMode="External"/><Relationship Id="rId35" Type="http://schemas.openxmlformats.org/officeDocument/2006/relationships/hyperlink" Target="https://www.legifrance.gouv.fr/loda/article_lc/LEGIARTI000032078725" TargetMode="External"/><Relationship Id="rId36" Type="http://schemas.openxmlformats.org/officeDocument/2006/relationships/hyperlink" Target="https://www.legifrance.gouv.fr/loda/article_lc/LEGIARTI000032078725" TargetMode="External"/><Relationship Id="rId37" Type="http://schemas.openxmlformats.org/officeDocument/2006/relationships/hyperlink" Target="https://www.legifrance.gouv.fr/loda/article_lc/LEGIARTI000006679618" TargetMode="External"/><Relationship Id="rId38" Type="http://schemas.openxmlformats.org/officeDocument/2006/relationships/hyperlink" Target="https://www.legifrance.gouv.fr/loda/article_lc/LEGIARTI000006679618" TargetMode="External"/><Relationship Id="rId39" Type="http://schemas.openxmlformats.org/officeDocument/2006/relationships/hyperlink" Target="https://www.legifrance.gouv.fr/loda/article_lc/LEGIARTI000006679618" TargetMode="External"/><Relationship Id="rId40" Type="http://schemas.openxmlformats.org/officeDocument/2006/relationships/hyperlink" Target="https://www.legifrance.gouv.fr/loda/article_lc/LEGIARTI000006679618" TargetMode="External"/><Relationship Id="rId41" Type="http://schemas.openxmlformats.org/officeDocument/2006/relationships/hyperlink" Target="https://www.legifrance.gouv.fr/loda/article_lc/LEGIARTI000006679618" TargetMode="External"/><Relationship Id="rId42" Type="http://schemas.openxmlformats.org/officeDocument/2006/relationships/hyperlink" Target="https://www.legifrance.gouv.fr/loda/article_lc/LEGIARTI000006679619" TargetMode="External"/><Relationship Id="rId43" Type="http://schemas.openxmlformats.org/officeDocument/2006/relationships/hyperlink" Target="https://www.legifrance.gouv.fr/loda/article_lc/LEGIARTI000050027780" TargetMode="External"/><Relationship Id="rId44" Type="http://schemas.openxmlformats.org/officeDocument/2006/relationships/hyperlink" Target="https://www.legifrance.gouv.fr/loda/article_lc/LEGIARTI000050027781" TargetMode="External"/><Relationship Id="rId45" Type="http://schemas.openxmlformats.org/officeDocument/2006/relationships/hyperlink" Target="https://www.legifrance.gouv.fr/loda/article_lc/LEGIARTI000006679619" TargetMode="External"/><Relationship Id="rId46" Type="http://schemas.openxmlformats.org/officeDocument/2006/relationships/hyperlink" Target="https://www.legifrance.gouv.fr/loda/article_lc/LEGIARTI000006679619" TargetMode="External"/><Relationship Id="rId47" Type="http://schemas.openxmlformats.org/officeDocument/2006/relationships/hyperlink" Target="https://www.legifrance.gouv.fr/loda/article_lc/LEGIARTI000006679619" TargetMode="External"/><Relationship Id="rId48" Type="http://schemas.openxmlformats.org/officeDocument/2006/relationships/hyperlink" Target="https://www.legifrance.gouv.fr/loda/article_lc/LEGIARTI000006679619" TargetMode="External"/><Relationship Id="rId49" Type="http://schemas.openxmlformats.org/officeDocument/2006/relationships/hyperlink" Target="https://www.legifrance.gouv.fr/loda/article_lc/LEGIARTI000006679619" TargetMode="External"/><Relationship Id="rId50" Type="http://schemas.openxmlformats.org/officeDocument/2006/relationships/hyperlink" Target="https://www.legifrance.gouv.fr/loda/article_lc/LEGIARTI000006679619" TargetMode="External"/><Relationship Id="rId51" Type="http://schemas.openxmlformats.org/officeDocument/2006/relationships/hyperlink" Target="https://www.legifrance.gouv.fr/loda/article_lc/LEGIARTI000006679619" TargetMode="External"/><Relationship Id="rId52" Type="http://schemas.openxmlformats.org/officeDocument/2006/relationships/hyperlink" Target="https://www.legifrance.gouv.fr/loda/article_lc/LEGIARTI000025542613" TargetMode="External"/><Relationship Id="rId53" Type="http://schemas.openxmlformats.org/officeDocument/2006/relationships/hyperlink" Target="https://www.legifrance.gouv.fr/codes/article_lc/LEGIARTI000018531543" TargetMode="External"/><Relationship Id="rId54" Type="http://schemas.openxmlformats.org/officeDocument/2006/relationships/hyperlink" Target="https://www.legifrance.gouv.fr/loda/article_lc/LEGIARTI000025049531" TargetMode="External"/><Relationship Id="rId55" Type="http://schemas.openxmlformats.org/officeDocument/2006/relationships/hyperlink" Target="https://www.legifrance.gouv.fr/loda/article_lc/LEGIARTI000025049531" TargetMode="External"/><Relationship Id="rId56" Type="http://schemas.openxmlformats.org/officeDocument/2006/relationships/hyperlink" Target="https://www.legifrance.gouv.fr/loda/article_lc/LEGIARTI000025100475" TargetMode="External"/><Relationship Id="rId57" Type="http://schemas.openxmlformats.org/officeDocument/2006/relationships/hyperlink" Target="https://www.legifrance.gouv.fr/loda/article_lc/LEGIARTI000025072657" TargetMode="External"/><Relationship Id="rId58" Type="http://schemas.openxmlformats.org/officeDocument/2006/relationships/hyperlink" Target="https://www.legifrance.gouv.fr/codes/article_lc/LEGIARTI000024769386" TargetMode="External"/><Relationship Id="rId59" Type="http://schemas.openxmlformats.org/officeDocument/2006/relationships/hyperlink" Target="https://www.legifrance.gouv.fr/codes/article_lc/LEGIARTI000024769386" TargetMode="External"/><Relationship Id="rId60" Type="http://schemas.openxmlformats.org/officeDocument/2006/relationships/hyperlink" Target="https://www.legifrance.gouv.fr/codes/article_lc/LEGIARTI000018532079" TargetMode="External"/><Relationship Id="rId61" Type="http://schemas.openxmlformats.org/officeDocument/2006/relationships/hyperlink" Target="https://www.legifrance.gouv.fr/loda/article_lc/LEGIARTI000036131133" TargetMode="External"/><Relationship Id="rId62" Type="http://schemas.openxmlformats.org/officeDocument/2006/relationships/hyperlink" Target="https://www.legifrance.gouv.fr/codes/article_lc/LEGIARTI000018532197" TargetMode="External"/><Relationship Id="rId63" Type="http://schemas.openxmlformats.org/officeDocument/2006/relationships/hyperlink" Target="https://www.legifrance.gouv.fr/loda/article_lc/LEGIARTI000006678610" TargetMode="External"/><Relationship Id="rId64" Type="http://schemas.openxmlformats.org/officeDocument/2006/relationships/hyperlink" Target="https://www.legifrance.gouv.fr/loda/article_lc/LEGIARTI000006678611" TargetMode="External"/><Relationship Id="rId65" Type="http://schemas.openxmlformats.org/officeDocument/2006/relationships/hyperlink" Target="https://www.legifrance.gouv.fr/loda/article_lc/LEGIARTI000006678611" TargetMode="External"/><Relationship Id="rId66" Type="http://schemas.openxmlformats.org/officeDocument/2006/relationships/hyperlink" Target="https://www.legifrance.gouv.fr/loda/article_lc/LEGIARTI000006679563" TargetMode="External"/><Relationship Id="rId67" Type="http://schemas.openxmlformats.org/officeDocument/2006/relationships/hyperlink" Target="https://www.legifrance.gouv.fr/loda/article_lc/LEGIARTI000023448213" TargetMode="External"/><Relationship Id="rId68" Type="http://schemas.openxmlformats.org/officeDocument/2006/relationships/hyperlink" Target="https://www.legifrance.gouv.fr/loda/article_lc/LEGIARTI000023448213" TargetMode="External"/><Relationship Id="rId69" Type="http://schemas.openxmlformats.org/officeDocument/2006/relationships/hyperlink" Target="https://www.legifrance.gouv.fr/loda/article_lc/LEGIARTI000036131127" TargetMode="External"/><Relationship Id="rId70" Type="http://schemas.openxmlformats.org/officeDocument/2006/relationships/hyperlink" Target="https://www.legifrance.gouv.fr/loda/article_lc/LEGIARTI000036131133" TargetMode="External"/><Relationship Id="rId71" Type="http://schemas.openxmlformats.org/officeDocument/2006/relationships/hyperlink" Target="https://www.legifrance.gouv.fr/loda/article_lc/LEGIARTI000036131127" TargetMode="External"/><Relationship Id="rId72" Type="http://schemas.openxmlformats.org/officeDocument/2006/relationships/hyperlink" Target="https://www.legifrance.gouv.fr/loda/article_lc/LEGIARTI000036131133" TargetMode="External"/><Relationship Id="rId73" Type="http://schemas.openxmlformats.org/officeDocument/2006/relationships/hyperlink" Target="https://www.legifrance.gouv.fr/loda/article_lc/LEGIARTI000006930405" TargetMode="External"/><Relationship Id="rId74" Type="http://schemas.openxmlformats.org/officeDocument/2006/relationships/hyperlink" Target="https://www.legifrance.gouv.fr/loda/article_lc/LEGIARTI000006930405" TargetMode="External"/><Relationship Id="rId75" Type="http://schemas.openxmlformats.org/officeDocument/2006/relationships/hyperlink" Target="https://www.legifrance.gouv.fr/loda/article_lc/LEGIARTI000006930405" TargetMode="External"/><Relationship Id="rId76" Type="http://schemas.openxmlformats.org/officeDocument/2006/relationships/hyperlink" Target="https://www.legifrance.gouv.fr/loda/article_lc/LEGIARTI000006930405" TargetMode="External"/><Relationship Id="rId77" Type="http://schemas.openxmlformats.org/officeDocument/2006/relationships/hyperlink" Target="https://www.legifrance.gouv.fr/loda/article_lc/LEGIARTI000006930405" TargetMode="External"/><Relationship Id="rId78" Type="http://schemas.openxmlformats.org/officeDocument/2006/relationships/hyperlink" Target="https://www.legifrance.gouv.fr/codes/article_lc/LEGIARTI000018532197" TargetMode="External"/><Relationship Id="rId79" Type="http://schemas.openxmlformats.org/officeDocument/2006/relationships/hyperlink" Target="https://www.legifrance.gouv.fr/codes/article_lc/LEGIARTI000018530899" TargetMode="External"/><Relationship Id="rId80" Type="http://schemas.openxmlformats.org/officeDocument/2006/relationships/hyperlink" Target="https://www.legifrance.gouv.fr/loda/article_lc/LEGIARTI000042467165" TargetMode="External"/><Relationship Id="rId81" Type="http://schemas.openxmlformats.org/officeDocument/2006/relationships/hyperlink" Target="https://www.legifrance.gouv.fr/codes/article_lc/LEGIARTI000018531543" TargetMode="External"/><Relationship Id="rId82" Type="http://schemas.openxmlformats.org/officeDocument/2006/relationships/hyperlink" Target="https://www.legifrance.gouv.fr/loda/article_lc/LEGIARTI000023453892" TargetMode="External"/><Relationship Id="rId83" Type="http://schemas.openxmlformats.org/officeDocument/2006/relationships/hyperlink" Target="https://www.legifrance.gouv.fr/loda/article_lc/LEGIARTI000023453892" TargetMode="External"/><Relationship Id="rId84" Type="http://schemas.openxmlformats.org/officeDocument/2006/relationships/hyperlink" Target="https://www.legifrance.gouv.fr/loda/article_lc/LEGIARTI000023453892" TargetMode="External"/><Relationship Id="rId85" Type="http://schemas.openxmlformats.org/officeDocument/2006/relationships/hyperlink" Target="https://www.legifrance.gouv.fr/loda/article_lc/LEGIARTI000023453892" TargetMode="External"/><Relationship Id="rId86" Type="http://schemas.openxmlformats.org/officeDocument/2006/relationships/hyperlink" Target="https://www.legifrance.gouv.fr/loda/article_lc/LEGIARTI000023453892" TargetMode="External"/><Relationship Id="rId87" Type="http://schemas.openxmlformats.org/officeDocument/2006/relationships/hyperlink" Target="https://www.legifrance.gouv.fr/loda/article_lc/LEGIARTI000006679618" TargetMode="External"/><Relationship Id="rId88" Type="http://schemas.openxmlformats.org/officeDocument/2006/relationships/hyperlink" Target="https://www.legifrance.gouv.fr/loda/article_lc/LEGIARTI000006679618" TargetMode="External"/><Relationship Id="rId89" Type="http://schemas.openxmlformats.org/officeDocument/2006/relationships/hyperlink" Target="https://www.legifrance.gouv.fr/loda/article_lc/LEGIARTI000006679619" TargetMode="External"/><Relationship Id="rId90" Type="http://schemas.openxmlformats.org/officeDocument/2006/relationships/hyperlink" Target="https://www.legifrance.gouv.fr/codes/article_lc/LEGIARTI000018529298" TargetMode="External"/><Relationship Id="rId91" Type="http://schemas.openxmlformats.org/officeDocument/2006/relationships/hyperlink" Target="https://www.legifrance.gouv.fr/codes/article_lc/LEGIARTI000018532211" TargetMode="External"/><Relationship Id="rId92" Type="http://schemas.openxmlformats.org/officeDocument/2006/relationships/hyperlink" Target="https://www.legifrance.gouv.fr/loda/id/JORFTEXT000000437731" TargetMode="External"/><Relationship Id="rId93" Type="http://schemas.openxmlformats.org/officeDocument/2006/relationships/hyperlink" Target="https://www.legifrance.gouv.fr/loda/article_lc/LEGIARTI000006669964" TargetMode="External"/><Relationship Id="rId94" Type="http://schemas.openxmlformats.org/officeDocument/2006/relationships/hyperlink" Target="https://www.legifrance.gouv.fr/loda/article_lc/LEGIARTI0000069304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B1:B30"/>
  <sheetViews>
    <sheetView workbookViewId="0" showGridLines="0"/>
  </sheetViews>
  <sheetFormatPr defaultRowHeight="15" outlineLevelRow="0" outlineLevelCol="0" x14ac:dyDescent="55"/>
  <cols>
    <col min="1" max="1" width="3" customWidth="1"/>
    <col min="2" max="2" width="110" customWidth="1"/>
  </cols>
  <sheetData>
    <row r="1" ht="24" customHeight="1" spans="2:2" x14ac:dyDescent="0.25">
      <c r="B1" s="1" t="s">
        <v>0</v>
      </c>
    </row>
    <row r="2" spans="2:2" x14ac:dyDescent="0.25">
      <c r="B2" s="2" t="s">
        <v>1</v>
      </c>
    </row>
    <row r="3" spans="2:2" x14ac:dyDescent="0.25">
      <c r="B3" s="2" t="s">
        <v>2</v>
      </c>
    </row>
    <row r="4" spans="2:2" x14ac:dyDescent="0.25">
      <c r="B4" s="3" t="s">
        <v>3</v>
      </c>
    </row>
    <row r="5" spans="2:2" x14ac:dyDescent="0.25">
      <c r="B5" s="2" t="s">
        <v>4</v>
      </c>
    </row>
    <row r="6" spans="2:2" x14ac:dyDescent="0.25">
      <c r="B6" s="2" t="s">
        <v>5</v>
      </c>
    </row>
    <row r="7" spans="2:2" x14ac:dyDescent="0.25">
      <c r="B7" s="2" t="s">
        <v>2</v>
      </c>
    </row>
    <row r="8" spans="2:2" x14ac:dyDescent="0.25">
      <c r="B8" s="3" t="s">
        <v>6</v>
      </c>
    </row>
    <row r="9" spans="2:2" x14ac:dyDescent="0.25">
      <c r="B9" s="2" t="s">
        <v>7</v>
      </c>
    </row>
    <row r="10" spans="2:2" x14ac:dyDescent="0.25">
      <c r="B10" s="2" t="s">
        <v>8</v>
      </c>
    </row>
    <row r="11" spans="2:2" x14ac:dyDescent="0.25">
      <c r="B11" s="2" t="s">
        <v>9</v>
      </c>
    </row>
    <row r="12" spans="2:2" x14ac:dyDescent="0.25">
      <c r="B12" s="2" t="s">
        <v>10</v>
      </c>
    </row>
    <row r="13" spans="2:2" x14ac:dyDescent="0.25">
      <c r="B13" s="2" t="s">
        <v>11</v>
      </c>
    </row>
    <row r="14" spans="2:2" x14ac:dyDescent="0.25">
      <c r="B14" s="2" t="s">
        <v>12</v>
      </c>
    </row>
    <row r="15" spans="2:2" x14ac:dyDescent="0.25">
      <c r="B15" s="2" t="s">
        <v>2</v>
      </c>
    </row>
    <row r="16" spans="2:2" x14ac:dyDescent="0.25">
      <c r="B16" s="3" t="s">
        <v>13</v>
      </c>
    </row>
    <row r="17" spans="2:2" x14ac:dyDescent="0.25">
      <c r="B17" s="2" t="s">
        <v>14</v>
      </c>
    </row>
    <row r="18" spans="2:2" x14ac:dyDescent="0.25">
      <c r="B18" s="2" t="s">
        <v>15</v>
      </c>
    </row>
    <row r="19" spans="2:2" x14ac:dyDescent="0.25">
      <c r="B19" s="2" t="s">
        <v>2</v>
      </c>
    </row>
    <row r="20" spans="2:2" x14ac:dyDescent="0.25">
      <c r="B20" s="3" t="s">
        <v>16</v>
      </c>
    </row>
    <row r="21" spans="2:2" x14ac:dyDescent="0.25">
      <c r="B21" s="2" t="s">
        <v>17</v>
      </c>
    </row>
    <row r="22" spans="2:2" x14ac:dyDescent="0.25">
      <c r="B22" s="2" t="s">
        <v>18</v>
      </c>
    </row>
    <row r="23" spans="2:2" x14ac:dyDescent="0.25">
      <c r="B23" s="2" t="s">
        <v>19</v>
      </c>
    </row>
    <row r="24" spans="2:2" x14ac:dyDescent="0.25">
      <c r="B24" s="2" t="s">
        <v>20</v>
      </c>
    </row>
    <row r="25" spans="2:2" x14ac:dyDescent="0.25">
      <c r="B25" s="2" t="s">
        <v>21</v>
      </c>
    </row>
    <row r="26" spans="2:2" x14ac:dyDescent="0.25">
      <c r="B26" s="2" t="s">
        <v>2</v>
      </c>
    </row>
    <row r="27" spans="2:2" x14ac:dyDescent="0.25">
      <c r="B27" s="3" t="s">
        <v>22</v>
      </c>
    </row>
    <row r="28" spans="2:2" x14ac:dyDescent="0.25">
      <c r="B28" s="4" t="s">
        <v>23</v>
      </c>
    </row>
    <row r="29" spans="2:2" x14ac:dyDescent="0.25">
      <c r="B29" s="4" t="s">
        <v>24</v>
      </c>
    </row>
    <row r="30" spans="2:2" x14ac:dyDescent="0.25">
      <c r="B30" s="4" t="s">
        <v>25</v>
      </c>
    </row>
  </sheetData>
  <sheetProtection sheet="1" formatColumns="0" formatRows="0" autoFilter="0"/>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B1:N46"/>
  <sheetViews>
    <sheetView workbookViewId="0" showGridLines="0"/>
  </sheetViews>
  <sheetFormatPr defaultRowHeight="15" outlineLevelRow="0" outlineLevelCol="0" x14ac:dyDescent="55"/>
  <cols>
    <col min="1" max="1" width="2" customWidth="1"/>
    <col min="2" max="2" width="46" customWidth="1"/>
    <col min="3" max="3" width="12" customWidth="1"/>
    <col min="4" max="4" width="3" customWidth="1"/>
    <col min="5" max="5" width="26" customWidth="1"/>
    <col min="6" max="8" width="11" customWidth="1"/>
    <col min="9" max="9" width="3" customWidth="1"/>
    <col min="10" max="10" width="12" customWidth="1"/>
    <col min="11" max="11" width="26" customWidth="1"/>
    <col min="12" max="12" width="13" customWidth="1"/>
    <col min="13" max="13" width="24" customWidth="1"/>
    <col min="14" max="14" width="4" hidden="1" customWidth="1"/>
  </cols>
  <sheetData>
    <row r="1" spans="2:2" x14ac:dyDescent="0.25">
      <c r="B1" s="5" t="s">
        <v>26</v>
      </c>
    </row>
    <row r="2" spans="10:10" x14ac:dyDescent="0.25">
      <c r="J2" s="6" t="s">
        <v>27</v>
      </c>
    </row>
    <row r="3" spans="2:13" x14ac:dyDescent="0.25">
      <c r="B3" t="s">
        <v>28</v>
      </c>
      <c r="C3" s="7">
        <f>TODAY()</f>
      </c>
      <c r="E3" s="8" t="s">
        <v>29</v>
      </c>
      <c r="F3" s="8" t="s">
        <v>30</v>
      </c>
      <c r="J3" s="8" t="s">
        <v>31</v>
      </c>
      <c r="K3" s="8" t="s">
        <v>32</v>
      </c>
      <c r="L3" s="8" t="s">
        <v>33</v>
      </c>
      <c r="M3" s="8" t="s">
        <v>34</v>
      </c>
    </row>
    <row r="4" spans="2:14" x14ac:dyDescent="0.25">
      <c r="B4" t="s">
        <v>35</v>
      </c>
      <c r="C4" s="9">
        <v>30</v>
      </c>
      <c r="E4" s="10" t="s">
        <v>36</v>
      </c>
      <c r="F4" s="11">
        <f>COUNTIF(Parc!$I$2:$I$301,"En retard")</f>
      </c>
      <c r="J4" s="12">
        <f>IF($N4="","",INDEX(Parc!$A$2:$A$301,MATCH($N4,Parc!$W$2:$W$301,0)))</f>
      </c>
      <c r="K4" s="12">
        <f>IF($N4="","",INDEX(Parc!$B$2:$B$301,MATCH($N4,Parc!$W$2:$W$301,0)))</f>
      </c>
      <c r="L4" s="13">
        <f>IF($N4="","",INT($N4))</f>
      </c>
      <c r="M4" s="12">
        <f>IF($N4="","",INDEX(Parc!$I$2:$I$301,MATCH($N4,Parc!$W$2:$W$301,0)))</f>
      </c>
      <c r="N4">
        <f>IFERROR(SMALL(Parc!$W$2:$W$301,1),"")</f>
      </c>
    </row>
    <row r="5" spans="5:14" x14ac:dyDescent="0.25">
      <c r="E5" s="14">
        <f>DATE(YEAR(TODAY()),MONTH(TODAY()),1)</f>
      </c>
      <c r="F5" s="11">
        <f>COUNTIFS(Parc!$G$2:$G$301,"&gt;="&amp;MAX(E5,TODAY()),Parc!$G$2:$G$301,"&lt;"&amp;EDATE(E5,1),Parc!$I$2:$I$301,"&lt;&gt;Hors service",Parc!$I$2:$I$301,"&lt;&gt;Location terminée")</f>
      </c>
      <c r="J5" s="12">
        <f>IF($N5="","",INDEX(Parc!$A$2:$A$301,MATCH($N5,Parc!$W$2:$W$301,0)))</f>
      </c>
      <c r="K5" s="12">
        <f>IF($N5="","",INDEX(Parc!$B$2:$B$301,MATCH($N5,Parc!$W$2:$W$301,0)))</f>
      </c>
      <c r="L5" s="13">
        <f>IF($N5="","",INT($N5))</f>
      </c>
      <c r="M5" s="12">
        <f>IF($N5="","",INDEX(Parc!$I$2:$I$301,MATCH($N5,Parc!$W$2:$W$301,0)))</f>
      </c>
      <c r="N5">
        <f>IFERROR(SMALL(Parc!$W$2:$W$301,2),"")</f>
      </c>
    </row>
    <row r="6" spans="2:14" x14ac:dyDescent="0.25">
      <c r="B6" s="12" t="s">
        <v>37</v>
      </c>
      <c r="C6" s="15">
        <f>SUM(C7:C14)</f>
      </c>
      <c r="E6" s="14">
        <f>EDATE(E5,1)</f>
      </c>
      <c r="F6" s="11">
        <f>COUNTIFS(Parc!$G$2:$G$301,"&gt;="&amp;MAX(E6,TODAY()),Parc!$G$2:$G$301,"&lt;"&amp;EDATE(E6,1),Parc!$I$2:$I$301,"&lt;&gt;Hors service",Parc!$I$2:$I$301,"&lt;&gt;Location terminée")</f>
      </c>
      <c r="J6" s="12">
        <f>IF($N6="","",INDEX(Parc!$A$2:$A$301,MATCH($N6,Parc!$W$2:$W$301,0)))</f>
      </c>
      <c r="K6" s="12">
        <f>IF($N6="","",INDEX(Parc!$B$2:$B$301,MATCH($N6,Parc!$W$2:$W$301,0)))</f>
      </c>
      <c r="L6" s="13">
        <f>IF($N6="","",INT($N6))</f>
      </c>
      <c r="M6" s="12">
        <f>IF($N6="","",INDEX(Parc!$I$2:$I$301,MATCH($N6,Parc!$W$2:$W$301,0)))</f>
      </c>
      <c r="N6">
        <f>IFERROR(SMALL(Parc!$W$2:$W$301,3),"")</f>
      </c>
    </row>
    <row r="7" spans="2:14" x14ac:dyDescent="0.25">
      <c r="B7" s="12" t="s">
        <v>38</v>
      </c>
      <c r="C7" s="15">
        <f>COUNTIF(Parc!$I$2:$I$301,"En retard")</f>
      </c>
      <c r="E7" s="14">
        <f>EDATE(E6,1)</f>
      </c>
      <c r="F7" s="11">
        <f>COUNTIFS(Parc!$G$2:$G$301,"&gt;="&amp;MAX(E7,TODAY()),Parc!$G$2:$G$301,"&lt;"&amp;EDATE(E7,1),Parc!$I$2:$I$301,"&lt;&gt;Hors service",Parc!$I$2:$I$301,"&lt;&gt;Location terminée")</f>
      </c>
      <c r="J7" s="12">
        <f>IF($N7="","",INDEX(Parc!$A$2:$A$301,MATCH($N7,Parc!$W$2:$W$301,0)))</f>
      </c>
      <c r="K7" s="12">
        <f>IF($N7="","",INDEX(Parc!$B$2:$B$301,MATCH($N7,Parc!$W$2:$W$301,0)))</f>
      </c>
      <c r="L7" s="13">
        <f>IF($N7="","",INT($N7))</f>
      </c>
      <c r="M7" s="12">
        <f>IF($N7="","",INDEX(Parc!$I$2:$I$301,MATCH($N7,Parc!$W$2:$W$301,0)))</f>
      </c>
      <c r="N7">
        <f>IFERROR(SMALL(Parc!$W$2:$W$301,4),"")</f>
      </c>
    </row>
    <row r="8" spans="2:14" x14ac:dyDescent="0.25">
      <c r="B8" s="12" t="s">
        <v>39</v>
      </c>
      <c r="C8" s="15">
        <f>COUNTIF(Parc!$I$2:$I$301,"Arrêt : réserve à lever")</f>
      </c>
      <c r="E8" s="14">
        <f>EDATE(E7,1)</f>
      </c>
      <c r="F8" s="11">
        <f>COUNTIFS(Parc!$G$2:$G$301,"&gt;="&amp;MAX(E8,TODAY()),Parc!$G$2:$G$301,"&lt;"&amp;EDATE(E8,1),Parc!$I$2:$I$301,"&lt;&gt;Hors service",Parc!$I$2:$I$301,"&lt;&gt;Location terminée")</f>
      </c>
      <c r="J8" s="12">
        <f>IF($N8="","",INDEX(Parc!$A$2:$A$301,MATCH($N8,Parc!$W$2:$W$301,0)))</f>
      </c>
      <c r="K8" s="12">
        <f>IF($N8="","",INDEX(Parc!$B$2:$B$301,MATCH($N8,Parc!$W$2:$W$301,0)))</f>
      </c>
      <c r="L8" s="13">
        <f>IF($N8="","",INT($N8))</f>
      </c>
      <c r="M8" s="12">
        <f>IF($N8="","",INDEX(Parc!$I$2:$I$301,MATCH($N8,Parc!$W$2:$W$301,0)))</f>
      </c>
      <c r="N8">
        <f>IFERROR(SMALL(Parc!$W$2:$W$301,5),"")</f>
      </c>
    </row>
    <row r="9" spans="2:14" x14ac:dyDescent="0.25">
      <c r="B9" s="12" t="s">
        <v>40</v>
      </c>
      <c r="C9" s="15">
        <f>COUNTIF(Parc!$I$2:$I$301,"Vérif. initiale à tracer")</f>
      </c>
      <c r="E9" s="14">
        <f>EDATE(E8,1)</f>
      </c>
      <c r="F9" s="11">
        <f>COUNTIFS(Parc!$G$2:$G$301,"&gt;="&amp;MAX(E9,TODAY()),Parc!$G$2:$G$301,"&lt;"&amp;EDATE(E9,1),Parc!$I$2:$I$301,"&lt;&gt;Hors service",Parc!$I$2:$I$301,"&lt;&gt;Location terminée")</f>
      </c>
      <c r="J9" s="12">
        <f>IF($N9="","",INDEX(Parc!$A$2:$A$301,MATCH($N9,Parc!$W$2:$W$301,0)))</f>
      </c>
      <c r="K9" s="12">
        <f>IF($N9="","",INDEX(Parc!$B$2:$B$301,MATCH($N9,Parc!$W$2:$W$301,0)))</f>
      </c>
      <c r="L9" s="13">
        <f>IF($N9="","",INT($N9))</f>
      </c>
      <c r="M9" s="12">
        <f>IF($N9="","",INDEX(Parc!$I$2:$I$301,MATCH($N9,Parc!$W$2:$W$301,0)))</f>
      </c>
      <c r="N9">
        <f>IFERROR(SMALL(Parc!$W$2:$W$301,6),"")</f>
      </c>
    </row>
    <row r="10" spans="2:14" x14ac:dyDescent="0.25">
      <c r="B10" s="12" t="s">
        <v>41</v>
      </c>
      <c r="C10" s="15">
        <f>COUNTIF(Parc!$I$2:$I$301,"Rapport loueur à obtenir")</f>
      </c>
      <c r="E10" s="14">
        <f>EDATE(E9,1)</f>
      </c>
      <c r="F10" s="11">
        <f>COUNTIFS(Parc!$G$2:$G$301,"&gt;="&amp;MAX(E10,TODAY()),Parc!$G$2:$G$301,"&lt;"&amp;EDATE(E10,1),Parc!$I$2:$I$301,"&lt;&gt;Hors service",Parc!$I$2:$I$301,"&lt;&gt;Location terminée")</f>
      </c>
      <c r="J10" s="12">
        <f>IF($N10="","",INDEX(Parc!$A$2:$A$301,MATCH($N10,Parc!$W$2:$W$301,0)))</f>
      </c>
      <c r="K10" s="12">
        <f>IF($N10="","",INDEX(Parc!$B$2:$B$301,MATCH($N10,Parc!$W$2:$W$301,0)))</f>
      </c>
      <c r="L10" s="13">
        <f>IF($N10="","",INT($N10))</f>
      </c>
      <c r="M10" s="12">
        <f>IF($N10="","",INDEX(Parc!$I$2:$I$301,MATCH($N10,Parc!$W$2:$W$301,0)))</f>
      </c>
      <c r="N10">
        <f>IFERROR(SMALL(Parc!$W$2:$W$301,7),"")</f>
      </c>
    </row>
    <row r="11" spans="2:14" x14ac:dyDescent="0.25">
      <c r="B11" s="12" t="s">
        <v>42</v>
      </c>
      <c r="C11" s="15">
        <f>COUNTIF(Parc!$I$2:$I$301,"À planifier")</f>
      </c>
      <c r="E11" s="14">
        <f>EDATE(E10,1)</f>
      </c>
      <c r="F11" s="11">
        <f>COUNTIFS(Parc!$G$2:$G$301,"&gt;="&amp;MAX(E11,TODAY()),Parc!$G$2:$G$301,"&lt;"&amp;EDATE(E11,1),Parc!$I$2:$I$301,"&lt;&gt;Hors service",Parc!$I$2:$I$301,"&lt;&gt;Location terminée")</f>
      </c>
      <c r="J11" s="12">
        <f>IF($N11="","",INDEX(Parc!$A$2:$A$301,MATCH($N11,Parc!$W$2:$W$301,0)))</f>
      </c>
      <c r="K11" s="12">
        <f>IF($N11="","",INDEX(Parc!$B$2:$B$301,MATCH($N11,Parc!$W$2:$W$301,0)))</f>
      </c>
      <c r="L11" s="13">
        <f>IF($N11="","",INT($N11))</f>
      </c>
      <c r="M11" s="12">
        <f>IF($N11="","",INDEX(Parc!$I$2:$I$301,MATCH($N11,Parc!$W$2:$W$301,0)))</f>
      </c>
      <c r="N11">
        <f>IFERROR(SMALL(Parc!$W$2:$W$301,8),"")</f>
      </c>
    </row>
    <row r="12" spans="2:14" x14ac:dyDescent="0.25">
      <c r="B12" s="12" t="s">
        <v>43</v>
      </c>
      <c r="C12" s="15">
        <f>COUNTIF(Parc!$I$2:$I$301,"Type à choisir")+COUNTIF(Parc!$I$2:$I$301,"Périodicité à saisir")+COUNTIF(Parc!$I$2:$I$301,"Date à corriger")</f>
      </c>
      <c r="E12" s="14">
        <f>EDATE(E11,1)</f>
      </c>
      <c r="F12" s="11">
        <f>COUNTIFS(Parc!$G$2:$G$301,"&gt;="&amp;MAX(E12,TODAY()),Parc!$G$2:$G$301,"&lt;"&amp;EDATE(E12,1),Parc!$I$2:$I$301,"&lt;&gt;Hors service",Parc!$I$2:$I$301,"&lt;&gt;Location terminée")</f>
      </c>
      <c r="J12" s="12">
        <f>IF($N12="","",INDEX(Parc!$A$2:$A$301,MATCH($N12,Parc!$W$2:$W$301,0)))</f>
      </c>
      <c r="K12" s="12">
        <f>IF($N12="","",INDEX(Parc!$B$2:$B$301,MATCH($N12,Parc!$W$2:$W$301,0)))</f>
      </c>
      <c r="L12" s="13">
        <f>IF($N12="","",INT($N12))</f>
      </c>
      <c r="M12" s="12">
        <f>IF($N12="","",INDEX(Parc!$I$2:$I$301,MATCH($N12,Parc!$W$2:$W$301,0)))</f>
      </c>
      <c r="N12">
        <f>IFERROR(SMALL(Parc!$W$2:$W$301,9),"")</f>
      </c>
    </row>
    <row r="13" spans="2:14" x14ac:dyDescent="0.25">
      <c r="B13" s="12" t="s">
        <v>44</v>
      </c>
      <c r="C13" s="15">
        <f>COUNTIF(Parc!$I$2:$I$301,"À jour")</f>
      </c>
      <c r="E13" s="14">
        <f>EDATE(E12,1)</f>
      </c>
      <c r="F13" s="11">
        <f>COUNTIFS(Parc!$G$2:$G$301,"&gt;="&amp;MAX(E13,TODAY()),Parc!$G$2:$G$301,"&lt;"&amp;EDATE(E13,1),Parc!$I$2:$I$301,"&lt;&gt;Hors service",Parc!$I$2:$I$301,"&lt;&gt;Location terminée")</f>
      </c>
      <c r="J13" s="12">
        <f>IF($N13="","",INDEX(Parc!$A$2:$A$301,MATCH($N13,Parc!$W$2:$W$301,0)))</f>
      </c>
      <c r="K13" s="12">
        <f>IF($N13="","",INDEX(Parc!$B$2:$B$301,MATCH($N13,Parc!$W$2:$W$301,0)))</f>
      </c>
      <c r="L13" s="13">
        <f>IF($N13="","",INT($N13))</f>
      </c>
      <c r="M13" s="12">
        <f>IF($N13="","",INDEX(Parc!$I$2:$I$301,MATCH($N13,Parc!$W$2:$W$301,0)))</f>
      </c>
      <c r="N13">
        <f>IFERROR(SMALL(Parc!$W$2:$W$301,10),"")</f>
      </c>
    </row>
    <row r="14" spans="2:6" x14ac:dyDescent="0.25">
      <c r="B14" s="12" t="s">
        <v>45</v>
      </c>
      <c r="C14" s="15">
        <f>COUNTIF(Parc!$I$2:$I$301,"Hors service")+COUNTIF(Parc!$I$2:$I$301,"Location terminée")</f>
      </c>
      <c r="E14" s="14">
        <f>EDATE(E13,1)</f>
      </c>
      <c r="F14" s="11">
        <f>COUNTIFS(Parc!$G$2:$G$301,"&gt;="&amp;MAX(E14,TODAY()),Parc!$G$2:$G$301,"&lt;"&amp;EDATE(E14,1),Parc!$I$2:$I$301,"&lt;&gt;Hors service",Parc!$I$2:$I$301,"&lt;&gt;Location terminée")</f>
      </c>
    </row>
    <row r="15" spans="2:6" x14ac:dyDescent="0.25">
      <c r="B15" s="12" t="s">
        <v>46</v>
      </c>
      <c r="C15" s="16">
        <f>IF(C6-C14=0,"",(C11+C13)/(C6-C14))</f>
      </c>
      <c r="E15" s="14">
        <f>EDATE(E14,1)</f>
      </c>
      <c r="F15" s="11">
        <f>COUNTIFS(Parc!$G$2:$G$301,"&gt;="&amp;MAX(E15,TODAY()),Parc!$G$2:$G$301,"&lt;"&amp;EDATE(E15,1),Parc!$I$2:$I$301,"&lt;&gt;Hors service",Parc!$I$2:$I$301,"&lt;&gt;Location terminée")</f>
      </c>
    </row>
    <row r="16" spans="2:6" x14ac:dyDescent="0.25">
      <c r="B16" s="12" t="s">
        <v>47</v>
      </c>
      <c r="C16" s="15">
        <f>COUNTIF(Réserves!$J$2:$J$301,"Ouverte")+COUNTIF(Réserves!$J$2:$J$301,"En retard")</f>
      </c>
      <c r="E16" s="14">
        <f>EDATE(E15,1)</f>
      </c>
      <c r="F16" s="11">
        <f>COUNTIFS(Parc!$G$2:$G$301,"&gt;="&amp;MAX(E16,TODAY()),Parc!$G$2:$G$301,"&lt;"&amp;EDATE(E16,1),Parc!$I$2:$I$301,"&lt;&gt;Hors service",Parc!$I$2:$I$301,"&lt;&gt;Location terminée")</f>
      </c>
    </row>
    <row r="17" spans="2:3" x14ac:dyDescent="0.25">
      <c r="B17" s="12" t="s">
        <v>48</v>
      </c>
      <c r="C17" s="15">
        <f>COUNTIF(Réserves!$J$2:$J$301,"En retard")</f>
      </c>
    </row>
    <row r="19" spans="5:8" x14ac:dyDescent="0.25">
      <c r="E19" s="8" t="s">
        <v>49</v>
      </c>
      <c r="F19" s="8" t="s">
        <v>50</v>
      </c>
      <c r="G19" s="8" t="s">
        <v>38</v>
      </c>
      <c r="H19" s="8" t="s">
        <v>51</v>
      </c>
    </row>
    <row r="20" spans="5:8" x14ac:dyDescent="0.25">
      <c r="E20" s="12" t="s">
        <v>52</v>
      </c>
      <c r="F20" s="11">
        <f>COUNTIFS(Parc!$K$2:$K$301,E20,Parc!$I$2:$I$301,"&lt;&gt;Hors service",Parc!$I$2:$I$301,"&lt;&gt;Location terminée")</f>
      </c>
      <c r="G20" s="11">
        <f>COUNTIFS(Parc!$K$2:$K$301,E20,Parc!$I$2:$I$301,"En retard")</f>
      </c>
      <c r="H20" s="11">
        <f>COUNTIFS(Parc!$K$2:$K$301,E20,Parc!$I$2:$I$301,"À planifier")</f>
      </c>
    </row>
    <row r="21" spans="5:8" x14ac:dyDescent="0.25">
      <c r="E21" s="12" t="s">
        <v>53</v>
      </c>
      <c r="F21" s="11">
        <f>COUNTIFS(Parc!$K$2:$K$301,E21,Parc!$I$2:$I$301,"&lt;&gt;Hors service",Parc!$I$2:$I$301,"&lt;&gt;Location terminée")</f>
      </c>
      <c r="G21" s="11">
        <f>COUNTIFS(Parc!$K$2:$K$301,E21,Parc!$I$2:$I$301,"En retard")</f>
      </c>
      <c r="H21" s="11">
        <f>COUNTIFS(Parc!$K$2:$K$301,E21,Parc!$I$2:$I$301,"À planifier")</f>
      </c>
    </row>
    <row r="22" spans="5:8" x14ac:dyDescent="0.25">
      <c r="E22" s="12" t="s">
        <v>54</v>
      </c>
      <c r="F22" s="11">
        <f>COUNTIFS(Parc!$K$2:$K$301,E22,Parc!$I$2:$I$301,"&lt;&gt;Hors service",Parc!$I$2:$I$301,"&lt;&gt;Location terminée")</f>
      </c>
      <c r="G22" s="11">
        <f>COUNTIFS(Parc!$K$2:$K$301,E22,Parc!$I$2:$I$301,"En retard")</f>
      </c>
      <c r="H22" s="11">
        <f>COUNTIFS(Parc!$K$2:$K$301,E22,Parc!$I$2:$I$301,"À planifier")</f>
      </c>
    </row>
    <row r="23" spans="5:8" x14ac:dyDescent="0.25">
      <c r="E23" s="12" t="s">
        <v>55</v>
      </c>
      <c r="F23" s="11">
        <f>COUNTIFS(Parc!$K$2:$K$301,E23,Parc!$I$2:$I$301,"&lt;&gt;Hors service",Parc!$I$2:$I$301,"&lt;&gt;Location terminée")</f>
      </c>
      <c r="G23" s="11">
        <f>COUNTIFS(Parc!$K$2:$K$301,E23,Parc!$I$2:$I$301,"En retard")</f>
      </c>
      <c r="H23" s="11">
        <f>COUNTIFS(Parc!$K$2:$K$301,E23,Parc!$I$2:$I$301,"À planifier")</f>
      </c>
    </row>
    <row r="24" spans="5:8" x14ac:dyDescent="0.25">
      <c r="E24" s="12" t="s">
        <v>56</v>
      </c>
      <c r="F24" s="11">
        <f>COUNTIFS(Parc!$K$2:$K$301,E24,Parc!$I$2:$I$301,"&lt;&gt;Hors service",Parc!$I$2:$I$301,"&lt;&gt;Location terminée")</f>
      </c>
      <c r="G24" s="11">
        <f>COUNTIFS(Parc!$K$2:$K$301,E24,Parc!$I$2:$I$301,"En retard")</f>
      </c>
      <c r="H24" s="11">
        <f>COUNTIFS(Parc!$K$2:$K$301,E24,Parc!$I$2:$I$301,"À planifier")</f>
      </c>
    </row>
    <row r="25" spans="5:8" x14ac:dyDescent="0.25">
      <c r="E25" s="12" t="s">
        <v>57</v>
      </c>
      <c r="F25" s="11">
        <f>COUNTIFS(Parc!$K$2:$K$301,E25,Parc!$I$2:$I$301,"&lt;&gt;Hors service",Parc!$I$2:$I$301,"&lt;&gt;Location terminée")</f>
      </c>
      <c r="G25" s="11">
        <f>COUNTIFS(Parc!$K$2:$K$301,E25,Parc!$I$2:$I$301,"En retard")</f>
      </c>
      <c r="H25" s="11">
        <f>COUNTIFS(Parc!$K$2:$K$301,E25,Parc!$I$2:$I$301,"À planifier")</f>
      </c>
    </row>
    <row r="26" spans="5:8" x14ac:dyDescent="0.25">
      <c r="E26" s="12" t="s">
        <v>58</v>
      </c>
      <c r="F26" s="11">
        <f>COUNTIFS(Parc!$K$2:$K$301,E26,Parc!$I$2:$I$301,"&lt;&gt;Hors service",Parc!$I$2:$I$301,"&lt;&gt;Location terminée")</f>
      </c>
      <c r="G26" s="11">
        <f>COUNTIFS(Parc!$K$2:$K$301,E26,Parc!$I$2:$I$301,"En retard")</f>
      </c>
      <c r="H26" s="11">
        <f>COUNTIFS(Parc!$K$2:$K$301,E26,Parc!$I$2:$I$301,"À planifier")</f>
      </c>
    </row>
    <row r="27" spans="5:8" x14ac:dyDescent="0.25">
      <c r="E27" s="12" t="s">
        <v>59</v>
      </c>
      <c r="F27" s="11">
        <f>COUNTIFS(Parc!$K$2:$K$301,E27,Parc!$I$2:$I$301,"&lt;&gt;Hors service",Parc!$I$2:$I$301,"&lt;&gt;Location terminée")</f>
      </c>
      <c r="G27" s="11">
        <f>COUNTIFS(Parc!$K$2:$K$301,E27,Parc!$I$2:$I$301,"En retard")</f>
      </c>
      <c r="H27" s="11">
        <f>COUNTIFS(Parc!$K$2:$K$301,E27,Parc!$I$2:$I$301,"À planifier")</f>
      </c>
    </row>
    <row r="28" spans="5:8" x14ac:dyDescent="0.25">
      <c r="E28" s="12" t="s">
        <v>60</v>
      </c>
      <c r="F28" s="11">
        <f>COUNTIFS(Parc!$K$2:$K$301,E28,Parc!$I$2:$I$301,"&lt;&gt;Hors service",Parc!$I$2:$I$301,"&lt;&gt;Location terminée")</f>
      </c>
      <c r="G28" s="11">
        <f>COUNTIFS(Parc!$K$2:$K$301,E28,Parc!$I$2:$I$301,"En retard")</f>
      </c>
      <c r="H28" s="11">
        <f>COUNTIFS(Parc!$K$2:$K$301,E28,Parc!$I$2:$I$301,"À planifier")</f>
      </c>
    </row>
    <row r="29" spans="5:8" x14ac:dyDescent="0.25">
      <c r="E29" s="12" t="s">
        <v>61</v>
      </c>
      <c r="F29" s="11">
        <f>COUNTIFS(Parc!$K$2:$K$301,E29,Parc!$I$2:$I$301,"&lt;&gt;Hors service",Parc!$I$2:$I$301,"&lt;&gt;Location terminée")</f>
      </c>
      <c r="G29" s="11">
        <f>COUNTIFS(Parc!$K$2:$K$301,E29,Parc!$I$2:$I$301,"En retard")</f>
      </c>
      <c r="H29" s="11">
        <f>COUNTIFS(Parc!$K$2:$K$301,E29,Parc!$I$2:$I$301,"À planifier")</f>
      </c>
    </row>
    <row r="30" spans="5:8" x14ac:dyDescent="0.25">
      <c r="E30" s="12" t="s">
        <v>62</v>
      </c>
      <c r="F30" s="11">
        <f>COUNTIFS(Parc!$K$2:$K$301,E30,Parc!$I$2:$I$301,"&lt;&gt;Hors service",Parc!$I$2:$I$301,"&lt;&gt;Location terminée")</f>
      </c>
      <c r="G30" s="11">
        <f>COUNTIFS(Parc!$K$2:$K$301,E30,Parc!$I$2:$I$301,"En retard")</f>
      </c>
      <c r="H30" s="11">
        <f>COUNTIFS(Parc!$K$2:$K$301,E30,Parc!$I$2:$I$301,"À planifier")</f>
      </c>
    </row>
    <row r="31" spans="5:8" x14ac:dyDescent="0.25">
      <c r="E31" s="12" t="s">
        <v>63</v>
      </c>
      <c r="F31" s="11">
        <f>COUNTIFS(Parc!$K$2:$K$301,E31,Parc!$I$2:$I$301,"&lt;&gt;Hors service",Parc!$I$2:$I$301,"&lt;&gt;Location terminée")</f>
      </c>
      <c r="G31" s="11">
        <f>COUNTIFS(Parc!$K$2:$K$301,E31,Parc!$I$2:$I$301,"En retard")</f>
      </c>
      <c r="H31" s="11">
        <f>COUNTIFS(Parc!$K$2:$K$301,E31,Parc!$I$2:$I$301,"À planifier")</f>
      </c>
    </row>
    <row r="32" spans="5:8" x14ac:dyDescent="0.25">
      <c r="E32" s="12" t="s">
        <v>64</v>
      </c>
      <c r="F32" s="11">
        <f>COUNTIFS(Parc!$K$2:$K$301,E32,Parc!$I$2:$I$301,"&lt;&gt;Hors service",Parc!$I$2:$I$301,"&lt;&gt;Location terminée")</f>
      </c>
      <c r="G32" s="11">
        <f>COUNTIFS(Parc!$K$2:$K$301,E32,Parc!$I$2:$I$301,"En retard")</f>
      </c>
      <c r="H32" s="11">
        <f>COUNTIFS(Parc!$K$2:$K$301,E32,Parc!$I$2:$I$301,"À planifier")</f>
      </c>
    </row>
    <row r="33" spans="5:8" x14ac:dyDescent="0.25">
      <c r="E33" s="12" t="s">
        <v>65</v>
      </c>
      <c r="F33" s="11">
        <f>COUNTIFS(Parc!$K$2:$K$301,E33,Parc!$I$2:$I$301,"&lt;&gt;Hors service",Parc!$I$2:$I$301,"&lt;&gt;Location terminée")</f>
      </c>
      <c r="G33" s="11">
        <f>COUNTIFS(Parc!$K$2:$K$301,E33,Parc!$I$2:$I$301,"En retard")</f>
      </c>
      <c r="H33" s="11">
        <f>COUNTIFS(Parc!$K$2:$K$301,E33,Parc!$I$2:$I$301,"À planifier")</f>
      </c>
    </row>
    <row r="35" spans="2:2" x14ac:dyDescent="0.25">
      <c r="B35" s="17" t="s">
        <v>66</v>
      </c>
    </row>
    <row r="36" spans="2:7" x14ac:dyDescent="0.25">
      <c r="B36" s="8" t="s">
        <v>67</v>
      </c>
      <c r="C36" s="8" t="s">
        <v>50</v>
      </c>
      <c r="E36" s="8" t="s">
        <v>38</v>
      </c>
      <c r="F36" s="8" t="s">
        <v>51</v>
      </c>
      <c r="G36" s="8" t="s">
        <v>68</v>
      </c>
    </row>
    <row r="37" spans="2:7" x14ac:dyDescent="0.25">
      <c r="B37" s="9" t="s">
        <v>69</v>
      </c>
      <c r="C37" s="11">
        <f>IF(B37="","",COUNTIFS(Parc!$D$2:$D$301,B37,Parc!$I$2:$I$301,"&lt;&gt;Hors service",Parc!$I$2:$I$301,"&lt;&gt;Location terminée"))</f>
      </c>
      <c r="E37" s="11">
        <f>IF(B37="","",COUNTIFS(Parc!$D$2:$D$301,B37,Parc!$I$2:$I$301,"En retard"))</f>
      </c>
      <c r="F37" s="11">
        <f>IF(B37="","",COUNTIFS(Parc!$D$2:$D$301,B37,Parc!$I$2:$I$301,"À planifier"))</f>
      </c>
      <c r="G37" s="11">
        <f>IF(B37="","",SUMIFS(Parc!$J$2:$J$301,Parc!$D$2:$D$301,B37))</f>
      </c>
    </row>
    <row r="38" spans="2:7" x14ac:dyDescent="0.25">
      <c r="B38" s="9" t="s">
        <v>70</v>
      </c>
      <c r="C38" s="11">
        <f>IF(B38="","",COUNTIFS(Parc!$D$2:$D$301,B38,Parc!$I$2:$I$301,"&lt;&gt;Hors service",Parc!$I$2:$I$301,"&lt;&gt;Location terminée"))</f>
      </c>
      <c r="E38" s="11">
        <f>IF(B38="","",COUNTIFS(Parc!$D$2:$D$301,B38,Parc!$I$2:$I$301,"En retard"))</f>
      </c>
      <c r="F38" s="11">
        <f>IF(B38="","",COUNTIFS(Parc!$D$2:$D$301,B38,Parc!$I$2:$I$301,"À planifier"))</f>
      </c>
      <c r="G38" s="11">
        <f>IF(B38="","",SUMIFS(Parc!$J$2:$J$301,Parc!$D$2:$D$301,B38))</f>
      </c>
    </row>
    <row r="39" spans="2:7" x14ac:dyDescent="0.25">
      <c r="B39" s="9" t="s">
        <v>71</v>
      </c>
      <c r="C39" s="11">
        <f>IF(B39="","",COUNTIFS(Parc!$D$2:$D$301,B39,Parc!$I$2:$I$301,"&lt;&gt;Hors service",Parc!$I$2:$I$301,"&lt;&gt;Location terminée"))</f>
      </c>
      <c r="E39" s="11">
        <f>IF(B39="","",COUNTIFS(Parc!$D$2:$D$301,B39,Parc!$I$2:$I$301,"En retard"))</f>
      </c>
      <c r="F39" s="11">
        <f>IF(B39="","",COUNTIFS(Parc!$D$2:$D$301,B39,Parc!$I$2:$I$301,"À planifier"))</f>
      </c>
      <c r="G39" s="11">
        <f>IF(B39="","",SUMIFS(Parc!$J$2:$J$301,Parc!$D$2:$D$301,B39))</f>
      </c>
    </row>
    <row r="40" spans="2:7" x14ac:dyDescent="0.25">
      <c r="B40" s="9"/>
      <c r="C40" s="11">
        <f>IF(B40="","",COUNTIFS(Parc!$D$2:$D$301,B40,Parc!$I$2:$I$301,"&lt;&gt;Hors service",Parc!$I$2:$I$301,"&lt;&gt;Location terminée"))</f>
      </c>
      <c r="E40" s="11">
        <f>IF(B40="","",COUNTIFS(Parc!$D$2:$D$301,B40,Parc!$I$2:$I$301,"En retard"))</f>
      </c>
      <c r="F40" s="11">
        <f>IF(B40="","",COUNTIFS(Parc!$D$2:$D$301,B40,Parc!$I$2:$I$301,"À planifier"))</f>
      </c>
      <c r="G40" s="11">
        <f>IF(B40="","",SUMIFS(Parc!$J$2:$J$301,Parc!$D$2:$D$301,B40))</f>
      </c>
    </row>
    <row r="41" spans="2:7" x14ac:dyDescent="0.25">
      <c r="B41" s="9"/>
      <c r="C41" s="11">
        <f>IF(B41="","",COUNTIFS(Parc!$D$2:$D$301,B41,Parc!$I$2:$I$301,"&lt;&gt;Hors service",Parc!$I$2:$I$301,"&lt;&gt;Location terminée"))</f>
      </c>
      <c r="E41" s="11">
        <f>IF(B41="","",COUNTIFS(Parc!$D$2:$D$301,B41,Parc!$I$2:$I$301,"En retard"))</f>
      </c>
      <c r="F41" s="11">
        <f>IF(B41="","",COUNTIFS(Parc!$D$2:$D$301,B41,Parc!$I$2:$I$301,"À planifier"))</f>
      </c>
      <c r="G41" s="11">
        <f>IF(B41="","",SUMIFS(Parc!$J$2:$J$301,Parc!$D$2:$D$301,B41))</f>
      </c>
    </row>
    <row r="42" spans="2:7" x14ac:dyDescent="0.25">
      <c r="B42" s="9"/>
      <c r="C42" s="11">
        <f>IF(B42="","",COUNTIFS(Parc!$D$2:$D$301,B42,Parc!$I$2:$I$301,"&lt;&gt;Hors service",Parc!$I$2:$I$301,"&lt;&gt;Location terminée"))</f>
      </c>
      <c r="E42" s="11">
        <f>IF(B42="","",COUNTIFS(Parc!$D$2:$D$301,B42,Parc!$I$2:$I$301,"En retard"))</f>
      </c>
      <c r="F42" s="11">
        <f>IF(B42="","",COUNTIFS(Parc!$D$2:$D$301,B42,Parc!$I$2:$I$301,"À planifier"))</f>
      </c>
      <c r="G42" s="11">
        <f>IF(B42="","",SUMIFS(Parc!$J$2:$J$301,Parc!$D$2:$D$301,B42))</f>
      </c>
    </row>
    <row r="43" spans="2:7" x14ac:dyDescent="0.25">
      <c r="B43" s="9"/>
      <c r="C43" s="11">
        <f>IF(B43="","",COUNTIFS(Parc!$D$2:$D$301,B43,Parc!$I$2:$I$301,"&lt;&gt;Hors service",Parc!$I$2:$I$301,"&lt;&gt;Location terminée"))</f>
      </c>
      <c r="E43" s="11">
        <f>IF(B43="","",COUNTIFS(Parc!$D$2:$D$301,B43,Parc!$I$2:$I$301,"En retard"))</f>
      </c>
      <c r="F43" s="11">
        <f>IF(B43="","",COUNTIFS(Parc!$D$2:$D$301,B43,Parc!$I$2:$I$301,"À planifier"))</f>
      </c>
      <c r="G43" s="11">
        <f>IF(B43="","",SUMIFS(Parc!$J$2:$J$301,Parc!$D$2:$D$301,B43))</f>
      </c>
    </row>
    <row r="44" spans="2:7" x14ac:dyDescent="0.25">
      <c r="B44" s="9"/>
      <c r="C44" s="11">
        <f>IF(B44="","",COUNTIFS(Parc!$D$2:$D$301,B44,Parc!$I$2:$I$301,"&lt;&gt;Hors service",Parc!$I$2:$I$301,"&lt;&gt;Location terminée"))</f>
      </c>
      <c r="E44" s="11">
        <f>IF(B44="","",COUNTIFS(Parc!$D$2:$D$301,B44,Parc!$I$2:$I$301,"En retard"))</f>
      </c>
      <c r="F44" s="11">
        <f>IF(B44="","",COUNTIFS(Parc!$D$2:$D$301,B44,Parc!$I$2:$I$301,"À planifier"))</f>
      </c>
      <c r="G44" s="11">
        <f>IF(B44="","",SUMIFS(Parc!$J$2:$J$301,Parc!$D$2:$D$301,B44))</f>
      </c>
    </row>
    <row r="45" spans="2:7" x14ac:dyDescent="0.25">
      <c r="B45" s="9"/>
      <c r="C45" s="11">
        <f>IF(B45="","",COUNTIFS(Parc!$D$2:$D$301,B45,Parc!$I$2:$I$301,"&lt;&gt;Hors service",Parc!$I$2:$I$301,"&lt;&gt;Location terminée"))</f>
      </c>
      <c r="E45" s="11">
        <f>IF(B45="","",COUNTIFS(Parc!$D$2:$D$301,B45,Parc!$I$2:$I$301,"En retard"))</f>
      </c>
      <c r="F45" s="11">
        <f>IF(B45="","",COUNTIFS(Parc!$D$2:$D$301,B45,Parc!$I$2:$I$301,"À planifier"))</f>
      </c>
      <c r="G45" s="11">
        <f>IF(B45="","",SUMIFS(Parc!$J$2:$J$301,Parc!$D$2:$D$301,B45))</f>
      </c>
    </row>
    <row r="46" spans="2:7" x14ac:dyDescent="0.25">
      <c r="B46" s="9"/>
      <c r="C46" s="11">
        <f>IF(B46="","",COUNTIFS(Parc!$D$2:$D$301,B46,Parc!$I$2:$I$301,"&lt;&gt;Hors service",Parc!$I$2:$I$301,"&lt;&gt;Location terminée"))</f>
      </c>
      <c r="E46" s="11">
        <f>IF(B46="","",COUNTIFS(Parc!$D$2:$D$301,B46,Parc!$I$2:$I$301,"En retard"))</f>
      </c>
      <c r="F46" s="11">
        <f>IF(B46="","",COUNTIFS(Parc!$D$2:$D$301,B46,Parc!$I$2:$I$301,"À planifier"))</f>
      </c>
      <c r="G46" s="11">
        <f>IF(B46="","",SUMIFS(Parc!$J$2:$J$301,Parc!$D$2:$D$301,B46))</f>
      </c>
    </row>
  </sheetData>
  <sheetProtection sheet="1" formatColumns="0" formatRows="0" autoFilter="0"/>
  <conditionalFormatting sqref="C7">
    <cfRule type="expression" dxfId="0" priority="1">
      <formula>C7&gt;0</formula>
    </cfRule>
  </conditionalFormatting>
  <conditionalFormatting sqref="C8">
    <cfRule type="expression" dxfId="1" priority="1">
      <formula>C8&gt;0</formula>
    </cfRule>
  </conditionalFormatting>
  <conditionalFormatting sqref="C9">
    <cfRule type="expression" dxfId="2" priority="1">
      <formula>C9&gt;0</formula>
    </cfRule>
  </conditionalFormatting>
  <conditionalFormatting sqref="C10">
    <cfRule type="expression" dxfId="3" priority="1">
      <formula>C10&gt;0</formula>
    </cfRule>
  </conditionalFormatting>
  <conditionalFormatting sqref="C11">
    <cfRule type="expression" dxfId="4" priority="1">
      <formula>C11&gt;0</formula>
    </cfRule>
  </conditionalFormatting>
  <conditionalFormatting sqref="C12">
    <cfRule type="expression" dxfId="5" priority="1">
      <formula>C12&gt;0</formula>
    </cfRule>
  </conditionalFormatting>
  <conditionalFormatting sqref="C16">
    <cfRule type="expression" dxfId="6" priority="1">
      <formula>C16&gt;0</formula>
    </cfRule>
  </conditionalFormatting>
  <conditionalFormatting sqref="C17">
    <cfRule type="expression" dxfId="7" priority="1">
      <formula>C17&gt;0</formula>
    </cfRule>
  </conditionalFormatting>
  <conditionalFormatting sqref="M4:M13">
    <cfRule type="expression" dxfId="8" priority="1">
      <formula>$M4="En retard"</formula>
    </cfRule>
    <cfRule type="expression" dxfId="9" priority="2">
      <formula>$M4="Arrêt : réserve à lever"</formula>
    </cfRule>
    <cfRule type="expression" dxfId="10" priority="3">
      <formula>$M4="À planifier"</formula>
    </cfRule>
    <cfRule type="expression" dxfId="11" priority="4">
      <formula>$M4="À jour"</formula>
    </cfRule>
  </conditionalFormatting>
  <conditionalFormatting sqref="G20:G33">
    <cfRule type="expression" dxfId="12" priority="1">
      <formula>G20&gt;0</formula>
    </cfRule>
  </conditionalFormatting>
  <conditionalFormatting sqref="E37:E46">
    <cfRule type="expression" dxfId="13" priority="1">
      <formula>AND(ISNUMBER(E37),E37&gt;0)</formula>
    </cfRule>
  </conditionalFormatting>
  <dataValidations count="1">
    <dataValidation type="whole" showErrorMessage="1" errorTitle="Nombre de jours" error="Entre 0 et 365 jours." sqref="C4">
      <formula1>0</formula1>
      <formula2>365</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pageSetUpPr fitToPage="1"/>
  </sheetPr>
  <dimension ref="A1:X301"/>
  <sheetViews>
    <sheetView workbookViewId="0">
      <pane xSplit="2" ySplit="1" topLeftCell="C2" activePane="bottomRight" state="frozen"/>
      <selection pane="bottomRight"/>
    </sheetView>
  </sheetViews>
  <sheetFormatPr defaultRowHeight="15" outlineLevelRow="0" outlineLevelCol="0" x14ac:dyDescent="55"/>
  <cols>
    <col min="1" max="1" width="11" customWidth="1"/>
    <col min="2" max="2" width="26" customWidth="1"/>
    <col min="3" max="3" width="40" customWidth="1"/>
    <col min="4" max="4" width="18" customWidth="1"/>
    <col min="5" max="5" width="13" customWidth="1"/>
    <col min="6" max="6" width="16" customWidth="1"/>
    <col min="7" max="7" width="13" customWidth="1"/>
    <col min="9" max="9" width="24" customWidth="1"/>
    <col min="10" max="10" width="10" customWidth="1"/>
    <col min="11" max="11" width="16" customWidth="1"/>
    <col min="12" max="12" width="11" customWidth="1"/>
    <col min="13" max="13" width="12" customWidth="1"/>
    <col min="14" max="14" width="11" customWidth="1"/>
    <col min="15" max="15" width="14" customWidth="1"/>
    <col min="16" max="16" width="10" customWidth="1"/>
    <col min="17" max="17" width="14" customWidth="1"/>
    <col min="18" max="18" width="12" customWidth="1"/>
    <col min="19" max="19" width="13" customWidth="1"/>
    <col min="21" max="21" width="12" customWidth="1"/>
    <col min="22" max="22" width="30" customWidth="1"/>
    <col min="23" max="23" width="6" hidden="1" customWidth="1"/>
    <col min="24" max="24" width="24" customWidth="1"/>
  </cols>
  <sheetData>
    <row r="1" ht="58" customHeight="1" spans="1:24" x14ac:dyDescent="0.25">
      <c r="A1" s="8" t="s">
        <v>72</v>
      </c>
      <c r="B1" s="8" t="s">
        <v>73</v>
      </c>
      <c r="C1" s="8" t="s">
        <v>74</v>
      </c>
      <c r="D1" s="8" t="s">
        <v>67</v>
      </c>
      <c r="E1" s="8" t="s">
        <v>75</v>
      </c>
      <c r="F1" s="8" t="s">
        <v>76</v>
      </c>
      <c r="G1" s="8" t="s">
        <v>77</v>
      </c>
      <c r="H1" s="8" t="s">
        <v>78</v>
      </c>
      <c r="I1" s="8" t="s">
        <v>34</v>
      </c>
      <c r="J1" s="8" t="s">
        <v>47</v>
      </c>
      <c r="K1" s="8" t="s">
        <v>49</v>
      </c>
      <c r="L1" s="8" t="s">
        <v>79</v>
      </c>
      <c r="M1" s="18" t="s">
        <v>80</v>
      </c>
      <c r="N1" s="8" t="s">
        <v>81</v>
      </c>
      <c r="O1" s="18" t="s">
        <v>82</v>
      </c>
      <c r="P1" s="18" t="s">
        <v>83</v>
      </c>
      <c r="Q1" s="8" t="s">
        <v>84</v>
      </c>
      <c r="R1" s="18" t="s">
        <v>85</v>
      </c>
      <c r="S1" s="18" t="s">
        <v>86</v>
      </c>
      <c r="T1" s="8" t="s">
        <v>87</v>
      </c>
      <c r="U1" s="18" t="s">
        <v>88</v>
      </c>
      <c r="V1" s="8" t="s">
        <v>89</v>
      </c>
      <c r="W1" s="8" t="s">
        <v>90</v>
      </c>
      <c r="X1" s="18" t="s">
        <v>91</v>
      </c>
    </row>
    <row r="2" spans="1:24" x14ac:dyDescent="0.25">
      <c r="A2" s="9" t="s">
        <v>92</v>
      </c>
      <c r="B2" s="9" t="s">
        <v>93</v>
      </c>
      <c r="C2" s="9" t="s">
        <v>94</v>
      </c>
      <c r="D2" s="9" t="s">
        <v>69</v>
      </c>
      <c r="E2" s="19">
        <f>IF($A2="","",IF(SUMPRODUCT(MAX((Vérifications!$B$2:$B$1001=$A2)*Vérifications!$L$2:$L$1001))=0,"",SUMPRODUCT(MAX((Vérifications!$B$2:$B$1001=$A2)*Vérifications!$L$2:$L$1001))))</f>
      </c>
      <c r="F2" s="20">
        <f>IF($E2="","",IFERROR(INDEX(Vérifications!$E$2:$E$1001,MATCH($A2&amp;"|"&amp;$E2,Vérifications!$M$2:$M$1001,0)),""))</f>
      </c>
      <c r="G2" s="19">
        <f>IF($N2="","",IF(ISNUMBER($E2),EDATE($E2,$N2),IF(AND(ISNUMBER($U2),IFERROR(INDEX('Référentiel'!$E$2:$E$83,MATCH($C2,'Référentiel'!$A$2:$A$83,0)),0)&gt;0),EDATE($U2,IFERROR(INDEX('Référentiel'!$E$2:$E$83,MATCH($C2,'Référentiel'!$A$2:$A$83,0)),0)),"")))</f>
      </c>
      <c r="H2" s="21">
        <f>IF(ISNUMBER($G2),$G2-TODAY(),"")</f>
      </c>
      <c r="I2" s="20">
        <f>IF(AND($A2="",$C2=""),"",IF($T2="Non","Hors service",IF(AND($Q2="Location",ISNUMBER($R2),$R2&lt;TODAY()),"Location terminée",IF(OR($F2="Mise à l'arrêt",IF($A2="",0,SUMPRODUCT((Réserves!$B$2:$B$301=$A2)*(Réserves!$E$2:$E$301="Mise à l'arrêt")*(Réserves!$J$2:$J$301&lt;&gt;"Levée")*(Réserves!$J$2:$J$301&lt;&gt;"")))&gt;0),"Arrêt : réserve à lever",IF($C2="","Type à choisir",IF($N2="","Périodicité à saisir",IF(OR(ISTEXT($U2),ISTEXT($R2)),"Date à corriger",IF(AND($E2="",$Q2="Location",$S2&lt;&gt;"Oui"),"Rapport loueur à obtenir",IF(NOT(ISNUMBER($G2)),"Vérif. initiale à tracer",IF($H2&lt;0,"En retard",IF(AND($Q2="Location",$S2&lt;&gt;"Oui"),"Rapport loueur à obtenir",IF($H2&lt;='Tableau de bord'!$C$4,"À planifier","À jour"))))))))))))</f>
      </c>
      <c r="J2" s="22">
        <f>IF($A2="","",COUNTIFS(Réserves!$B$2:$B$301,$A2,Réserves!$J$2:$J$301,"Ouverte")+COUNTIFS(Réserves!$B$2:$B$301,$A2,Réserves!$J$2:$J$301,"En retard"))</f>
      </c>
      <c r="K2" s="20">
        <f>IF($C2="","",IFERROR(INDEX('Référentiel'!$B$2:$B$83,MATCH($C2,'Référentiel'!$A$2:$A$83,0)),"Type hors liste"))</f>
      </c>
      <c r="L2" s="22">
        <f>IF($C2="","",IF(IFERROR(INDEX('Référentiel'!$C$2:$C$83,MATCH($C2,'Référentiel'!$A$2:$A$83,0)),0)=0,"",IFERROR(INDEX('Référentiel'!$C$2:$C$83,MATCH($C2,'Référentiel'!$A$2:$A$83,0)),0)))</f>
      </c>
      <c r="M2" s="23"/>
      <c r="N2" s="22">
        <f>IF($C2="","",IF(IF($M2&lt;&gt;"",IF($L2&lt;&gt;"",MIN($L2,$M2),$M2),IF($L2&lt;&gt;"",$L2,IF(IFERROR(INDEX('Référentiel'!$D$2:$D$83,MATCH($C2,'Référentiel'!$A$2:$A$83,0)),0)&gt;0,IFERROR(INDEX('Référentiel'!$D$2:$D$83,MATCH($C2,'Référentiel'!$A$2:$A$83,0)),0),"")))="","",IF(AND(IFERROR(INDEX('Référentiel'!$F$2:$F$83,MATCH($C2,'Référentiel'!$A$2:$A$83,0)),0)&gt;0,N($J2)&gt;0),MIN(IF($M2&lt;&gt;"",IF($L2&lt;&gt;"",MIN($L2,$M2),$M2),IF($L2&lt;&gt;"",$L2,IF(IFERROR(INDEX('Référentiel'!$D$2:$D$83,MATCH($C2,'Référentiel'!$A$2:$A$83,0)),0)&gt;0,IFERROR(INDEX('Référentiel'!$D$2:$D$83,MATCH($C2,'Référentiel'!$A$2:$A$83,0)),0),""))),IFERROR(INDEX('Référentiel'!$F$2:$F$83,MATCH($C2,'Référentiel'!$A$2:$A$83,0)),0)),IF($M2&lt;&gt;"",IF($L2&lt;&gt;"",MIN($L2,$M2),$M2),IF($L2&lt;&gt;"",$L2,IF(IFERROR(INDEX('Référentiel'!$D$2:$D$83,MATCH($C2,'Référentiel'!$A$2:$A$83,0)),0)&gt;0,IFERROR(INDEX('Référentiel'!$D$2:$D$83,MATCH($C2,'Référentiel'!$A$2:$A$83,0)),0),""))))))</f>
      </c>
      <c r="O2" s="9" t="s">
        <v>95</v>
      </c>
      <c r="P2" s="23"/>
      <c r="Q2" s="9" t="s">
        <v>96</v>
      </c>
      <c r="R2" s="24"/>
      <c r="S2" s="23"/>
      <c r="T2" s="23" t="s">
        <v>97</v>
      </c>
      <c r="U2" s="24"/>
      <c r="V2" s="20">
        <f>IF($C2="","",IFERROR(INDEX('Référentiel'!$K$2:$K$83,MATCH($C2,'Référentiel'!$A$2:$A$83,0)),""))</f>
      </c>
      <c r="W2" s="20">
        <f>IF(AND(ISNUMBER($G2),$I2&lt;&gt;"Hors service",$I2&lt;&gt;"Location terminée"),$G2+ROW()/100000,"")</f>
      </c>
      <c r="X2" s="9"/>
    </row>
    <row r="3" spans="1:24" x14ac:dyDescent="0.25">
      <c r="A3" s="9" t="s">
        <v>98</v>
      </c>
      <c r="B3" s="9" t="s">
        <v>99</v>
      </c>
      <c r="C3" s="9" t="s">
        <v>100</v>
      </c>
      <c r="D3" s="9" t="s">
        <v>71</v>
      </c>
      <c r="E3" s="19">
        <f>IF($A3="","",IF(SUMPRODUCT(MAX((Vérifications!$B$2:$B$1001=$A3)*Vérifications!$L$2:$L$1001))=0,"",SUMPRODUCT(MAX((Vérifications!$B$2:$B$1001=$A3)*Vérifications!$L$2:$L$1001))))</f>
      </c>
      <c r="F3" s="20">
        <f>IF($E3="","",IFERROR(INDEX(Vérifications!$E$2:$E$1001,MATCH($A3&amp;"|"&amp;$E3,Vérifications!$M$2:$M$1001,0)),""))</f>
      </c>
      <c r="G3" s="19">
        <f>IF($N3="","",IF(ISNUMBER($E3),EDATE($E3,$N3),IF(AND(ISNUMBER($U3),IFERROR(INDEX('Référentiel'!$E$2:$E$83,MATCH($C3,'Référentiel'!$A$2:$A$83,0)),0)&gt;0),EDATE($U3,IFERROR(INDEX('Référentiel'!$E$2:$E$83,MATCH($C3,'Référentiel'!$A$2:$A$83,0)),0)),"")))</f>
      </c>
      <c r="H3" s="21">
        <f>IF(ISNUMBER($G3),$G3-TODAY(),"")</f>
      </c>
      <c r="I3" s="20">
        <f>IF(AND($A3="",$C3=""),"",IF($T3="Non","Hors service",IF(AND($Q3="Location",ISNUMBER($R3),$R3&lt;TODAY()),"Location terminée",IF(OR($F3="Mise à l'arrêt",IF($A3="",0,SUMPRODUCT((Réserves!$B$2:$B$301=$A3)*(Réserves!$E$2:$E$301="Mise à l'arrêt")*(Réserves!$J$2:$J$301&lt;&gt;"Levée")*(Réserves!$J$2:$J$301&lt;&gt;"")))&gt;0),"Arrêt : réserve à lever",IF($C3="","Type à choisir",IF($N3="","Périodicité à saisir",IF(OR(ISTEXT($U3),ISTEXT($R3)),"Date à corriger",IF(AND($E3="",$Q3="Location",$S3&lt;&gt;"Oui"),"Rapport loueur à obtenir",IF(NOT(ISNUMBER($G3)),"Vérif. initiale à tracer",IF($H3&lt;0,"En retard",IF(AND($Q3="Location",$S3&lt;&gt;"Oui"),"Rapport loueur à obtenir",IF($H3&lt;='Tableau de bord'!$C$4,"À planifier","À jour"))))))))))))</f>
      </c>
      <c r="J3" s="22">
        <f>IF($A3="","",COUNTIFS(Réserves!$B$2:$B$301,$A3,Réserves!$J$2:$J$301,"Ouverte")+COUNTIFS(Réserves!$B$2:$B$301,$A3,Réserves!$J$2:$J$301,"En retard"))</f>
      </c>
      <c r="K3" s="20">
        <f>IF($C3="","",IFERROR(INDEX('Référentiel'!$B$2:$B$83,MATCH($C3,'Référentiel'!$A$2:$A$83,0)),"Type hors liste"))</f>
      </c>
      <c r="L3" s="22">
        <f>IF($C3="","",IF(IFERROR(INDEX('Référentiel'!$C$2:$C$83,MATCH($C3,'Référentiel'!$A$2:$A$83,0)),0)=0,"",IFERROR(INDEX('Référentiel'!$C$2:$C$83,MATCH($C3,'Référentiel'!$A$2:$A$83,0)),0)))</f>
      </c>
      <c r="M3" s="23"/>
      <c r="N3" s="22">
        <f>IF($C3="","",IF(IF($M3&lt;&gt;"",IF($L3&lt;&gt;"",MIN($L3,$M3),$M3),IF($L3&lt;&gt;"",$L3,IF(IFERROR(INDEX('Référentiel'!$D$2:$D$83,MATCH($C3,'Référentiel'!$A$2:$A$83,0)),0)&gt;0,IFERROR(INDEX('Référentiel'!$D$2:$D$83,MATCH($C3,'Référentiel'!$A$2:$A$83,0)),0),"")))="","",IF(AND(IFERROR(INDEX('Référentiel'!$F$2:$F$83,MATCH($C3,'Référentiel'!$A$2:$A$83,0)),0)&gt;0,N($J3)&gt;0),MIN(IF($M3&lt;&gt;"",IF($L3&lt;&gt;"",MIN($L3,$M3),$M3),IF($L3&lt;&gt;"",$L3,IF(IFERROR(INDEX('Référentiel'!$D$2:$D$83,MATCH($C3,'Référentiel'!$A$2:$A$83,0)),0)&gt;0,IFERROR(INDEX('Référentiel'!$D$2:$D$83,MATCH($C3,'Référentiel'!$A$2:$A$83,0)),0),""))),IFERROR(INDEX('Référentiel'!$F$2:$F$83,MATCH($C3,'Référentiel'!$A$2:$A$83,0)),0)),IF($M3&lt;&gt;"",IF($L3&lt;&gt;"",MIN($L3,$M3),$M3),IF($L3&lt;&gt;"",$L3,IF(IFERROR(INDEX('Référentiel'!$D$2:$D$83,MATCH($C3,'Référentiel'!$A$2:$A$83,0)),0)&gt;0,IFERROR(INDEX('Référentiel'!$D$2:$D$83,MATCH($C3,'Référentiel'!$A$2:$A$83,0)),0),""))))))</f>
      </c>
      <c r="O3" s="9" t="s">
        <v>101</v>
      </c>
      <c r="P3" s="23"/>
      <c r="Q3" s="9" t="s">
        <v>96</v>
      </c>
      <c r="R3" s="24"/>
      <c r="S3" s="23"/>
      <c r="T3" s="23" t="s">
        <v>97</v>
      </c>
      <c r="U3" s="24"/>
      <c r="V3" s="20">
        <f>IF($C3="","",IFERROR(INDEX('Référentiel'!$K$2:$K$83,MATCH($C3,'Référentiel'!$A$2:$A$83,0)),""))</f>
      </c>
      <c r="W3" s="20">
        <f>IF(AND(ISNUMBER($G3),$I3&lt;&gt;"Hors service",$I3&lt;&gt;"Location terminée"),$G3+ROW()/100000,"")</f>
      </c>
      <c r="X3" s="9"/>
    </row>
    <row r="4" spans="1:24" x14ac:dyDescent="0.25">
      <c r="A4" s="9" t="s">
        <v>102</v>
      </c>
      <c r="B4" s="9" t="s">
        <v>103</v>
      </c>
      <c r="C4" s="9" t="s">
        <v>104</v>
      </c>
      <c r="D4" s="9" t="s">
        <v>71</v>
      </c>
      <c r="E4" s="19">
        <f>IF($A4="","",IF(SUMPRODUCT(MAX((Vérifications!$B$2:$B$1001=$A4)*Vérifications!$L$2:$L$1001))=0,"",SUMPRODUCT(MAX((Vérifications!$B$2:$B$1001=$A4)*Vérifications!$L$2:$L$1001))))</f>
      </c>
      <c r="F4" s="20">
        <f>IF($E4="","",IFERROR(INDEX(Vérifications!$E$2:$E$1001,MATCH($A4&amp;"|"&amp;$E4,Vérifications!$M$2:$M$1001,0)),""))</f>
      </c>
      <c r="G4" s="19">
        <f>IF($N4="","",IF(ISNUMBER($E4),EDATE($E4,$N4),IF(AND(ISNUMBER($U4),IFERROR(INDEX('Référentiel'!$E$2:$E$83,MATCH($C4,'Référentiel'!$A$2:$A$83,0)),0)&gt;0),EDATE($U4,IFERROR(INDEX('Référentiel'!$E$2:$E$83,MATCH($C4,'Référentiel'!$A$2:$A$83,0)),0)),"")))</f>
      </c>
      <c r="H4" s="21">
        <f>IF(ISNUMBER($G4),$G4-TODAY(),"")</f>
      </c>
      <c r="I4" s="20">
        <f>IF(AND($A4="",$C4=""),"",IF($T4="Non","Hors service",IF(AND($Q4="Location",ISNUMBER($R4),$R4&lt;TODAY()),"Location terminée",IF(OR($F4="Mise à l'arrêt",IF($A4="",0,SUMPRODUCT((Réserves!$B$2:$B$301=$A4)*(Réserves!$E$2:$E$301="Mise à l'arrêt")*(Réserves!$J$2:$J$301&lt;&gt;"Levée")*(Réserves!$J$2:$J$301&lt;&gt;"")))&gt;0),"Arrêt : réserve à lever",IF($C4="","Type à choisir",IF($N4="","Périodicité à saisir",IF(OR(ISTEXT($U4),ISTEXT($R4)),"Date à corriger",IF(AND($E4="",$Q4="Location",$S4&lt;&gt;"Oui"),"Rapport loueur à obtenir",IF(NOT(ISNUMBER($G4)),"Vérif. initiale à tracer",IF($H4&lt;0,"En retard",IF(AND($Q4="Location",$S4&lt;&gt;"Oui"),"Rapport loueur à obtenir",IF($H4&lt;='Tableau de bord'!$C$4,"À planifier","À jour"))))))))))))</f>
      </c>
      <c r="J4" s="22">
        <f>IF($A4="","",COUNTIFS(Réserves!$B$2:$B$301,$A4,Réserves!$J$2:$J$301,"Ouverte")+COUNTIFS(Réserves!$B$2:$B$301,$A4,Réserves!$J$2:$J$301,"En retard"))</f>
      </c>
      <c r="K4" s="20">
        <f>IF($C4="","",IFERROR(INDEX('Référentiel'!$B$2:$B$83,MATCH($C4,'Référentiel'!$A$2:$A$83,0)),"Type hors liste"))</f>
      </c>
      <c r="L4" s="22">
        <f>IF($C4="","",IF(IFERROR(INDEX('Référentiel'!$C$2:$C$83,MATCH($C4,'Référentiel'!$A$2:$A$83,0)),0)=0,"",IFERROR(INDEX('Référentiel'!$C$2:$C$83,MATCH($C4,'Référentiel'!$A$2:$A$83,0)),0)))</f>
      </c>
      <c r="M4" s="23"/>
      <c r="N4" s="22">
        <f>IF($C4="","",IF(IF($M4&lt;&gt;"",IF($L4&lt;&gt;"",MIN($L4,$M4),$M4),IF($L4&lt;&gt;"",$L4,IF(IFERROR(INDEX('Référentiel'!$D$2:$D$83,MATCH($C4,'Référentiel'!$A$2:$A$83,0)),0)&gt;0,IFERROR(INDEX('Référentiel'!$D$2:$D$83,MATCH($C4,'Référentiel'!$A$2:$A$83,0)),0),"")))="","",IF(AND(IFERROR(INDEX('Référentiel'!$F$2:$F$83,MATCH($C4,'Référentiel'!$A$2:$A$83,0)),0)&gt;0,N($J4)&gt;0),MIN(IF($M4&lt;&gt;"",IF($L4&lt;&gt;"",MIN($L4,$M4),$M4),IF($L4&lt;&gt;"",$L4,IF(IFERROR(INDEX('Référentiel'!$D$2:$D$83,MATCH($C4,'Référentiel'!$A$2:$A$83,0)),0)&gt;0,IFERROR(INDEX('Référentiel'!$D$2:$D$83,MATCH($C4,'Référentiel'!$A$2:$A$83,0)),0),""))),IFERROR(INDEX('Référentiel'!$F$2:$F$83,MATCH($C4,'Référentiel'!$A$2:$A$83,0)),0)),IF($M4&lt;&gt;"",IF($L4&lt;&gt;"",MIN($L4,$M4),$M4),IF($L4&lt;&gt;"",$L4,IF(IFERROR(INDEX('Référentiel'!$D$2:$D$83,MATCH($C4,'Référentiel'!$A$2:$A$83,0)),0)&gt;0,IFERROR(INDEX('Référentiel'!$D$2:$D$83,MATCH($C4,'Référentiel'!$A$2:$A$83,0)),0),""))))))</f>
      </c>
      <c r="O4" s="9" t="s">
        <v>105</v>
      </c>
      <c r="P4" s="23"/>
      <c r="Q4" s="9" t="s">
        <v>106</v>
      </c>
      <c r="R4" s="24">
        <v>46374</v>
      </c>
      <c r="S4" s="23" t="s">
        <v>97</v>
      </c>
      <c r="T4" s="23" t="s">
        <v>97</v>
      </c>
      <c r="U4" s="24"/>
      <c r="V4" s="20">
        <f>IF($C4="","",IFERROR(INDEX('Référentiel'!$K$2:$K$83,MATCH($C4,'Référentiel'!$A$2:$A$83,0)),""))</f>
      </c>
      <c r="W4" s="20">
        <f>IF(AND(ISNUMBER($G4),$I4&lt;&gt;"Hors service",$I4&lt;&gt;"Location terminée"),$G4+ROW()/100000,"")</f>
      </c>
      <c r="X4" s="9"/>
    </row>
    <row r="5" spans="1:24" x14ac:dyDescent="0.25">
      <c r="A5" s="9" t="s">
        <v>107</v>
      </c>
      <c r="B5" s="9" t="s">
        <v>108</v>
      </c>
      <c r="C5" s="9" t="s">
        <v>109</v>
      </c>
      <c r="D5" s="9" t="s">
        <v>70</v>
      </c>
      <c r="E5" s="19">
        <f>IF($A5="","",IF(SUMPRODUCT(MAX((Vérifications!$B$2:$B$1001=$A5)*Vérifications!$L$2:$L$1001))=0,"",SUMPRODUCT(MAX((Vérifications!$B$2:$B$1001=$A5)*Vérifications!$L$2:$L$1001))))</f>
      </c>
      <c r="F5" s="20">
        <f>IF($E5="","",IFERROR(INDEX(Vérifications!$E$2:$E$1001,MATCH($A5&amp;"|"&amp;$E5,Vérifications!$M$2:$M$1001,0)),""))</f>
      </c>
      <c r="G5" s="19">
        <f>IF($N5="","",IF(ISNUMBER($E5),EDATE($E5,$N5),IF(AND(ISNUMBER($U5),IFERROR(INDEX('Référentiel'!$E$2:$E$83,MATCH($C5,'Référentiel'!$A$2:$A$83,0)),0)&gt;0),EDATE($U5,IFERROR(INDEX('Référentiel'!$E$2:$E$83,MATCH($C5,'Référentiel'!$A$2:$A$83,0)),0)),"")))</f>
      </c>
      <c r="H5" s="21">
        <f>IF(ISNUMBER($G5),$G5-TODAY(),"")</f>
      </c>
      <c r="I5" s="20">
        <f>IF(AND($A5="",$C5=""),"",IF($T5="Non","Hors service",IF(AND($Q5="Location",ISNUMBER($R5),$R5&lt;TODAY()),"Location terminée",IF(OR($F5="Mise à l'arrêt",IF($A5="",0,SUMPRODUCT((Réserves!$B$2:$B$301=$A5)*(Réserves!$E$2:$E$301="Mise à l'arrêt")*(Réserves!$J$2:$J$301&lt;&gt;"Levée")*(Réserves!$J$2:$J$301&lt;&gt;"")))&gt;0),"Arrêt : réserve à lever",IF($C5="","Type à choisir",IF($N5="","Périodicité à saisir",IF(OR(ISTEXT($U5),ISTEXT($R5)),"Date à corriger",IF(AND($E5="",$Q5="Location",$S5&lt;&gt;"Oui"),"Rapport loueur à obtenir",IF(NOT(ISNUMBER($G5)),"Vérif. initiale à tracer",IF($H5&lt;0,"En retard",IF(AND($Q5="Location",$S5&lt;&gt;"Oui"),"Rapport loueur à obtenir",IF($H5&lt;='Tableau de bord'!$C$4,"À planifier","À jour"))))))))))))</f>
      </c>
      <c r="J5" s="22">
        <f>IF($A5="","",COUNTIFS(Réserves!$B$2:$B$301,$A5,Réserves!$J$2:$J$301,"Ouverte")+COUNTIFS(Réserves!$B$2:$B$301,$A5,Réserves!$J$2:$J$301,"En retard"))</f>
      </c>
      <c r="K5" s="20">
        <f>IF($C5="","",IFERROR(INDEX('Référentiel'!$B$2:$B$83,MATCH($C5,'Référentiel'!$A$2:$A$83,0)),"Type hors liste"))</f>
      </c>
      <c r="L5" s="22">
        <f>IF($C5="","",IF(IFERROR(INDEX('Référentiel'!$C$2:$C$83,MATCH($C5,'Référentiel'!$A$2:$A$83,0)),0)=0,"",IFERROR(INDEX('Référentiel'!$C$2:$C$83,MATCH($C5,'Référentiel'!$A$2:$A$83,0)),0)))</f>
      </c>
      <c r="M5" s="23"/>
      <c r="N5" s="22">
        <f>IF($C5="","",IF(IF($M5&lt;&gt;"",IF($L5&lt;&gt;"",MIN($L5,$M5),$M5),IF($L5&lt;&gt;"",$L5,IF(IFERROR(INDEX('Référentiel'!$D$2:$D$83,MATCH($C5,'Référentiel'!$A$2:$A$83,0)),0)&gt;0,IFERROR(INDEX('Référentiel'!$D$2:$D$83,MATCH($C5,'Référentiel'!$A$2:$A$83,0)),0),"")))="","",IF(AND(IFERROR(INDEX('Référentiel'!$F$2:$F$83,MATCH($C5,'Référentiel'!$A$2:$A$83,0)),0)&gt;0,N($J5)&gt;0),MIN(IF($M5&lt;&gt;"",IF($L5&lt;&gt;"",MIN($L5,$M5),$M5),IF($L5&lt;&gt;"",$L5,IF(IFERROR(INDEX('Référentiel'!$D$2:$D$83,MATCH($C5,'Référentiel'!$A$2:$A$83,0)),0)&gt;0,IFERROR(INDEX('Référentiel'!$D$2:$D$83,MATCH($C5,'Référentiel'!$A$2:$A$83,0)),0),""))),IFERROR(INDEX('Référentiel'!$F$2:$F$83,MATCH($C5,'Référentiel'!$A$2:$A$83,0)),0)),IF($M5&lt;&gt;"",IF($L5&lt;&gt;"",MIN($L5,$M5),$M5),IF($L5&lt;&gt;"",$L5,IF(IFERROR(INDEX('Référentiel'!$D$2:$D$83,MATCH($C5,'Référentiel'!$A$2:$A$83,0)),0)&gt;0,IFERROR(INDEX('Référentiel'!$D$2:$D$83,MATCH($C5,'Référentiel'!$A$2:$A$83,0)),0),""))))))</f>
      </c>
      <c r="O5" s="9" t="s">
        <v>110</v>
      </c>
      <c r="P5" s="23"/>
      <c r="Q5" s="9" t="s">
        <v>96</v>
      </c>
      <c r="R5" s="24"/>
      <c r="S5" s="23"/>
      <c r="T5" s="23" t="s">
        <v>97</v>
      </c>
      <c r="U5" s="24"/>
      <c r="V5" s="20">
        <f>IF($C5="","",IFERROR(INDEX('Référentiel'!$K$2:$K$83,MATCH($C5,'Référentiel'!$A$2:$A$83,0)),""))</f>
      </c>
      <c r="W5" s="20">
        <f>IF(AND(ISNUMBER($G5),$I5&lt;&gt;"Hors service",$I5&lt;&gt;"Location terminée"),$G5+ROW()/100000,"")</f>
      </c>
      <c r="X5" s="9"/>
    </row>
    <row r="6" spans="1:24" x14ac:dyDescent="0.25">
      <c r="A6" s="9" t="s">
        <v>111</v>
      </c>
      <c r="B6" s="9" t="s">
        <v>112</v>
      </c>
      <c r="C6" s="9" t="s">
        <v>113</v>
      </c>
      <c r="D6" s="9" t="s">
        <v>70</v>
      </c>
      <c r="E6" s="19">
        <f>IF($A6="","",IF(SUMPRODUCT(MAX((Vérifications!$B$2:$B$1001=$A6)*Vérifications!$L$2:$L$1001))=0,"",SUMPRODUCT(MAX((Vérifications!$B$2:$B$1001=$A6)*Vérifications!$L$2:$L$1001))))</f>
      </c>
      <c r="F6" s="20">
        <f>IF($E6="","",IFERROR(INDEX(Vérifications!$E$2:$E$1001,MATCH($A6&amp;"|"&amp;$E6,Vérifications!$M$2:$M$1001,0)),""))</f>
      </c>
      <c r="G6" s="19">
        <f>IF($N6="","",IF(ISNUMBER($E6),EDATE($E6,$N6),IF(AND(ISNUMBER($U6),IFERROR(INDEX('Référentiel'!$E$2:$E$83,MATCH($C6,'Référentiel'!$A$2:$A$83,0)),0)&gt;0),EDATE($U6,IFERROR(INDEX('Référentiel'!$E$2:$E$83,MATCH($C6,'Référentiel'!$A$2:$A$83,0)),0)),"")))</f>
      </c>
      <c r="H6" s="21">
        <f>IF(ISNUMBER($G6),$G6-TODAY(),"")</f>
      </c>
      <c r="I6" s="20">
        <f>IF(AND($A6="",$C6=""),"",IF($T6="Non","Hors service",IF(AND($Q6="Location",ISNUMBER($R6),$R6&lt;TODAY()),"Location terminée",IF(OR($F6="Mise à l'arrêt",IF($A6="",0,SUMPRODUCT((Réserves!$B$2:$B$301=$A6)*(Réserves!$E$2:$E$301="Mise à l'arrêt")*(Réserves!$J$2:$J$301&lt;&gt;"Levée")*(Réserves!$J$2:$J$301&lt;&gt;"")))&gt;0),"Arrêt : réserve à lever",IF($C6="","Type à choisir",IF($N6="","Périodicité à saisir",IF(OR(ISTEXT($U6),ISTEXT($R6)),"Date à corriger",IF(AND($E6="",$Q6="Location",$S6&lt;&gt;"Oui"),"Rapport loueur à obtenir",IF(NOT(ISNUMBER($G6)),"Vérif. initiale à tracer",IF($H6&lt;0,"En retard",IF(AND($Q6="Location",$S6&lt;&gt;"Oui"),"Rapport loueur à obtenir",IF($H6&lt;='Tableau de bord'!$C$4,"À planifier","À jour"))))))))))))</f>
      </c>
      <c r="J6" s="22">
        <f>IF($A6="","",COUNTIFS(Réserves!$B$2:$B$301,$A6,Réserves!$J$2:$J$301,"Ouverte")+COUNTIFS(Réserves!$B$2:$B$301,$A6,Réserves!$J$2:$J$301,"En retard"))</f>
      </c>
      <c r="K6" s="20">
        <f>IF($C6="","",IFERROR(INDEX('Référentiel'!$B$2:$B$83,MATCH($C6,'Référentiel'!$A$2:$A$83,0)),"Type hors liste"))</f>
      </c>
      <c r="L6" s="22">
        <f>IF($C6="","",IF(IFERROR(INDEX('Référentiel'!$C$2:$C$83,MATCH($C6,'Référentiel'!$A$2:$A$83,0)),0)=0,"",IFERROR(INDEX('Référentiel'!$C$2:$C$83,MATCH($C6,'Référentiel'!$A$2:$A$83,0)),0)))</f>
      </c>
      <c r="M6" s="23"/>
      <c r="N6" s="22">
        <f>IF($C6="","",IF(IF($M6&lt;&gt;"",IF($L6&lt;&gt;"",MIN($L6,$M6),$M6),IF($L6&lt;&gt;"",$L6,IF(IFERROR(INDEX('Référentiel'!$D$2:$D$83,MATCH($C6,'Référentiel'!$A$2:$A$83,0)),0)&gt;0,IFERROR(INDEX('Référentiel'!$D$2:$D$83,MATCH($C6,'Référentiel'!$A$2:$A$83,0)),0),"")))="","",IF(AND(IFERROR(INDEX('Référentiel'!$F$2:$F$83,MATCH($C6,'Référentiel'!$A$2:$A$83,0)),0)&gt;0,N($J6)&gt;0),MIN(IF($M6&lt;&gt;"",IF($L6&lt;&gt;"",MIN($L6,$M6),$M6),IF($L6&lt;&gt;"",$L6,IF(IFERROR(INDEX('Référentiel'!$D$2:$D$83,MATCH($C6,'Référentiel'!$A$2:$A$83,0)),0)&gt;0,IFERROR(INDEX('Référentiel'!$D$2:$D$83,MATCH($C6,'Référentiel'!$A$2:$A$83,0)),0),""))),IFERROR(INDEX('Référentiel'!$F$2:$F$83,MATCH($C6,'Référentiel'!$A$2:$A$83,0)),0)),IF($M6&lt;&gt;"",IF($L6&lt;&gt;"",MIN($L6,$M6),$M6),IF($L6&lt;&gt;"",$L6,IF(IFERROR(INDEX('Référentiel'!$D$2:$D$83,MATCH($C6,'Référentiel'!$A$2:$A$83,0)),0)&gt;0,IFERROR(INDEX('Référentiel'!$D$2:$D$83,MATCH($C6,'Référentiel'!$A$2:$A$83,0)),0),""))))))</f>
      </c>
      <c r="O6" s="9"/>
      <c r="P6" s="23">
        <v>6</v>
      </c>
      <c r="Q6" s="9" t="s">
        <v>96</v>
      </c>
      <c r="R6" s="24"/>
      <c r="S6" s="23"/>
      <c r="T6" s="23" t="s">
        <v>97</v>
      </c>
      <c r="U6" s="24"/>
      <c r="V6" s="20">
        <f>IF($C6="","",IFERROR(INDEX('Référentiel'!$K$2:$K$83,MATCH($C6,'Référentiel'!$A$2:$A$83,0)),""))</f>
      </c>
      <c r="W6" s="20">
        <f>IF(AND(ISNUMBER($G6),$I6&lt;&gt;"Hors service",$I6&lt;&gt;"Location terminée"),$G6+ROW()/100000,"")</f>
      </c>
      <c r="X6" s="9"/>
    </row>
    <row r="7" spans="1:24" x14ac:dyDescent="0.25">
      <c r="A7" s="9" t="s">
        <v>114</v>
      </c>
      <c r="B7" s="9" t="s">
        <v>115</v>
      </c>
      <c r="C7" s="9" t="s">
        <v>116</v>
      </c>
      <c r="D7" s="9" t="s">
        <v>70</v>
      </c>
      <c r="E7" s="19">
        <f>IF($A7="","",IF(SUMPRODUCT(MAX((Vérifications!$B$2:$B$1001=$A7)*Vérifications!$L$2:$L$1001))=0,"",SUMPRODUCT(MAX((Vérifications!$B$2:$B$1001=$A7)*Vérifications!$L$2:$L$1001))))</f>
      </c>
      <c r="F7" s="20">
        <f>IF($E7="","",IFERROR(INDEX(Vérifications!$E$2:$E$1001,MATCH($A7&amp;"|"&amp;$E7,Vérifications!$M$2:$M$1001,0)),""))</f>
      </c>
      <c r="G7" s="19">
        <f>IF($N7="","",IF(ISNUMBER($E7),EDATE($E7,$N7),IF(AND(ISNUMBER($U7),IFERROR(INDEX('Référentiel'!$E$2:$E$83,MATCH($C7,'Référentiel'!$A$2:$A$83,0)),0)&gt;0),EDATE($U7,IFERROR(INDEX('Référentiel'!$E$2:$E$83,MATCH($C7,'Référentiel'!$A$2:$A$83,0)),0)),"")))</f>
      </c>
      <c r="H7" s="21">
        <f>IF(ISNUMBER($G7),$G7-TODAY(),"")</f>
      </c>
      <c r="I7" s="20">
        <f>IF(AND($A7="",$C7=""),"",IF($T7="Non","Hors service",IF(AND($Q7="Location",ISNUMBER($R7),$R7&lt;TODAY()),"Location terminée",IF(OR($F7="Mise à l'arrêt",IF($A7="",0,SUMPRODUCT((Réserves!$B$2:$B$301=$A7)*(Réserves!$E$2:$E$301="Mise à l'arrêt")*(Réserves!$J$2:$J$301&lt;&gt;"Levée")*(Réserves!$J$2:$J$301&lt;&gt;"")))&gt;0),"Arrêt : réserve à lever",IF($C7="","Type à choisir",IF($N7="","Périodicité à saisir",IF(OR(ISTEXT($U7),ISTEXT($R7)),"Date à corriger",IF(AND($E7="",$Q7="Location",$S7&lt;&gt;"Oui"),"Rapport loueur à obtenir",IF(NOT(ISNUMBER($G7)),"Vérif. initiale à tracer",IF($H7&lt;0,"En retard",IF(AND($Q7="Location",$S7&lt;&gt;"Oui"),"Rapport loueur à obtenir",IF($H7&lt;='Tableau de bord'!$C$4,"À planifier","À jour"))))))))))))</f>
      </c>
      <c r="J7" s="22">
        <f>IF($A7="","",COUNTIFS(Réserves!$B$2:$B$301,$A7,Réserves!$J$2:$J$301,"Ouverte")+COUNTIFS(Réserves!$B$2:$B$301,$A7,Réserves!$J$2:$J$301,"En retard"))</f>
      </c>
      <c r="K7" s="20">
        <f>IF($C7="","",IFERROR(INDEX('Référentiel'!$B$2:$B$83,MATCH($C7,'Référentiel'!$A$2:$A$83,0)),"Type hors liste"))</f>
      </c>
      <c r="L7" s="22">
        <f>IF($C7="","",IF(IFERROR(INDEX('Référentiel'!$C$2:$C$83,MATCH($C7,'Référentiel'!$A$2:$A$83,0)),0)=0,"",IFERROR(INDEX('Référentiel'!$C$2:$C$83,MATCH($C7,'Référentiel'!$A$2:$A$83,0)),0)))</f>
      </c>
      <c r="M7" s="23"/>
      <c r="N7" s="22">
        <f>IF($C7="","",IF(IF($M7&lt;&gt;"",IF($L7&lt;&gt;"",MIN($L7,$M7),$M7),IF($L7&lt;&gt;"",$L7,IF(IFERROR(INDEX('Référentiel'!$D$2:$D$83,MATCH($C7,'Référentiel'!$A$2:$A$83,0)),0)&gt;0,IFERROR(INDEX('Référentiel'!$D$2:$D$83,MATCH($C7,'Référentiel'!$A$2:$A$83,0)),0),"")))="","",IF(AND(IFERROR(INDEX('Référentiel'!$F$2:$F$83,MATCH($C7,'Référentiel'!$A$2:$A$83,0)),0)&gt;0,N($J7)&gt;0),MIN(IF($M7&lt;&gt;"",IF($L7&lt;&gt;"",MIN($L7,$M7),$M7),IF($L7&lt;&gt;"",$L7,IF(IFERROR(INDEX('Référentiel'!$D$2:$D$83,MATCH($C7,'Référentiel'!$A$2:$A$83,0)),0)&gt;0,IFERROR(INDEX('Référentiel'!$D$2:$D$83,MATCH($C7,'Référentiel'!$A$2:$A$83,0)),0),""))),IFERROR(INDEX('Référentiel'!$F$2:$F$83,MATCH($C7,'Référentiel'!$A$2:$A$83,0)),0)),IF($M7&lt;&gt;"",IF($L7&lt;&gt;"",MIN($L7,$M7),$M7),IF($L7&lt;&gt;"",$L7,IF(IFERROR(INDEX('Référentiel'!$D$2:$D$83,MATCH($C7,'Référentiel'!$A$2:$A$83,0)),0)&gt;0,IFERROR(INDEX('Référentiel'!$D$2:$D$83,MATCH($C7,'Référentiel'!$A$2:$A$83,0)),0),""))))))</f>
      </c>
      <c r="O7" s="9"/>
      <c r="P7" s="23"/>
      <c r="Q7" s="9" t="s">
        <v>96</v>
      </c>
      <c r="R7" s="24"/>
      <c r="S7" s="23"/>
      <c r="T7" s="23" t="s">
        <v>97</v>
      </c>
      <c r="U7" s="24">
        <v>46266</v>
      </c>
      <c r="V7" s="20">
        <f>IF($C7="","",IFERROR(INDEX('Référentiel'!$K$2:$K$83,MATCH($C7,'Référentiel'!$A$2:$A$83,0)),""))</f>
      </c>
      <c r="W7" s="20">
        <f>IF(AND(ISNUMBER($G7),$I7&lt;&gt;"Hors service",$I7&lt;&gt;"Location terminée"),$G7+ROW()/100000,"")</f>
      </c>
      <c r="X7" s="9"/>
    </row>
    <row r="8" spans="1:24" x14ac:dyDescent="0.25">
      <c r="A8" s="9" t="s">
        <v>117</v>
      </c>
      <c r="B8" s="9" t="s">
        <v>118</v>
      </c>
      <c r="C8" s="9" t="s">
        <v>119</v>
      </c>
      <c r="D8" s="9" t="s">
        <v>69</v>
      </c>
      <c r="E8" s="19">
        <f>IF($A8="","",IF(SUMPRODUCT(MAX((Vérifications!$B$2:$B$1001=$A8)*Vérifications!$L$2:$L$1001))=0,"",SUMPRODUCT(MAX((Vérifications!$B$2:$B$1001=$A8)*Vérifications!$L$2:$L$1001))))</f>
      </c>
      <c r="F8" s="20">
        <f>IF($E8="","",IFERROR(INDEX(Vérifications!$E$2:$E$1001,MATCH($A8&amp;"|"&amp;$E8,Vérifications!$M$2:$M$1001,0)),""))</f>
      </c>
      <c r="G8" s="19">
        <f>IF($N8="","",IF(ISNUMBER($E8),EDATE($E8,$N8),IF(AND(ISNUMBER($U8),IFERROR(INDEX('Référentiel'!$E$2:$E$83,MATCH($C8,'Référentiel'!$A$2:$A$83,0)),0)&gt;0),EDATE($U8,IFERROR(INDEX('Référentiel'!$E$2:$E$83,MATCH($C8,'Référentiel'!$A$2:$A$83,0)),0)),"")))</f>
      </c>
      <c r="H8" s="21">
        <f>IF(ISNUMBER($G8),$G8-TODAY(),"")</f>
      </c>
      <c r="I8" s="20">
        <f>IF(AND($A8="",$C8=""),"",IF($T8="Non","Hors service",IF(AND($Q8="Location",ISNUMBER($R8),$R8&lt;TODAY()),"Location terminée",IF(OR($F8="Mise à l'arrêt",IF($A8="",0,SUMPRODUCT((Réserves!$B$2:$B$301=$A8)*(Réserves!$E$2:$E$301="Mise à l'arrêt")*(Réserves!$J$2:$J$301&lt;&gt;"Levée")*(Réserves!$J$2:$J$301&lt;&gt;"")))&gt;0),"Arrêt : réserve à lever",IF($C8="","Type à choisir",IF($N8="","Périodicité à saisir",IF(OR(ISTEXT($U8),ISTEXT($R8)),"Date à corriger",IF(AND($E8="",$Q8="Location",$S8&lt;&gt;"Oui"),"Rapport loueur à obtenir",IF(NOT(ISNUMBER($G8)),"Vérif. initiale à tracer",IF($H8&lt;0,"En retard",IF(AND($Q8="Location",$S8&lt;&gt;"Oui"),"Rapport loueur à obtenir",IF($H8&lt;='Tableau de bord'!$C$4,"À planifier","À jour"))))))))))))</f>
      </c>
      <c r="J8" s="22">
        <f>IF($A8="","",COUNTIFS(Réserves!$B$2:$B$301,$A8,Réserves!$J$2:$J$301,"Ouverte")+COUNTIFS(Réserves!$B$2:$B$301,$A8,Réserves!$J$2:$J$301,"En retard"))</f>
      </c>
      <c r="K8" s="20">
        <f>IF($C8="","",IFERROR(INDEX('Référentiel'!$B$2:$B$83,MATCH($C8,'Référentiel'!$A$2:$A$83,0)),"Type hors liste"))</f>
      </c>
      <c r="L8" s="22">
        <f>IF($C8="","",IF(IFERROR(INDEX('Référentiel'!$C$2:$C$83,MATCH($C8,'Référentiel'!$A$2:$A$83,0)),0)=0,"",IFERROR(INDEX('Référentiel'!$C$2:$C$83,MATCH($C8,'Référentiel'!$A$2:$A$83,0)),0)))</f>
      </c>
      <c r="M8" s="23"/>
      <c r="N8" s="22">
        <f>IF($C8="","",IF(IF($M8&lt;&gt;"",IF($L8&lt;&gt;"",MIN($L8,$M8),$M8),IF($L8&lt;&gt;"",$L8,IF(IFERROR(INDEX('Référentiel'!$D$2:$D$83,MATCH($C8,'Référentiel'!$A$2:$A$83,0)),0)&gt;0,IFERROR(INDEX('Référentiel'!$D$2:$D$83,MATCH($C8,'Référentiel'!$A$2:$A$83,0)),0),"")))="","",IF(AND(IFERROR(INDEX('Référentiel'!$F$2:$F$83,MATCH($C8,'Référentiel'!$A$2:$A$83,0)),0)&gt;0,N($J8)&gt;0),MIN(IF($M8&lt;&gt;"",IF($L8&lt;&gt;"",MIN($L8,$M8),$M8),IF($L8&lt;&gt;"",$L8,IF(IFERROR(INDEX('Référentiel'!$D$2:$D$83,MATCH($C8,'Référentiel'!$A$2:$A$83,0)),0)&gt;0,IFERROR(INDEX('Référentiel'!$D$2:$D$83,MATCH($C8,'Référentiel'!$A$2:$A$83,0)),0),""))),IFERROR(INDEX('Référentiel'!$F$2:$F$83,MATCH($C8,'Référentiel'!$A$2:$A$83,0)),0)),IF($M8&lt;&gt;"",IF($L8&lt;&gt;"",MIN($L8,$M8),$M8),IF($L8&lt;&gt;"",$L8,IF(IFERROR(INDEX('Référentiel'!$D$2:$D$83,MATCH($C8,'Référentiel'!$A$2:$A$83,0)),0)&gt;0,IFERROR(INDEX('Référentiel'!$D$2:$D$83,MATCH($C8,'Référentiel'!$A$2:$A$83,0)),0),""))))))</f>
      </c>
      <c r="O8" s="9"/>
      <c r="P8" s="23">
        <v>4</v>
      </c>
      <c r="Q8" s="9" t="s">
        <v>96</v>
      </c>
      <c r="R8" s="24"/>
      <c r="S8" s="23"/>
      <c r="T8" s="23" t="s">
        <v>97</v>
      </c>
      <c r="U8" s="24"/>
      <c r="V8" s="20">
        <f>IF($C8="","",IFERROR(INDEX('Référentiel'!$K$2:$K$83,MATCH($C8,'Référentiel'!$A$2:$A$83,0)),""))</f>
      </c>
      <c r="W8" s="20">
        <f>IF(AND(ISNUMBER($G8),$I8&lt;&gt;"Hors service",$I8&lt;&gt;"Location terminée"),$G8+ROW()/100000,"")</f>
      </c>
      <c r="X8" s="9"/>
    </row>
    <row r="9" spans="1:24" x14ac:dyDescent="0.25">
      <c r="A9" s="9" t="s">
        <v>120</v>
      </c>
      <c r="B9" s="9" t="s">
        <v>121</v>
      </c>
      <c r="C9" s="9" t="s">
        <v>122</v>
      </c>
      <c r="D9" s="9" t="s">
        <v>69</v>
      </c>
      <c r="E9" s="19">
        <f>IF($A9="","",IF(SUMPRODUCT(MAX((Vérifications!$B$2:$B$1001=$A9)*Vérifications!$L$2:$L$1001))=0,"",SUMPRODUCT(MAX((Vérifications!$B$2:$B$1001=$A9)*Vérifications!$L$2:$L$1001))))</f>
      </c>
      <c r="F9" s="20">
        <f>IF($E9="","",IFERROR(INDEX(Vérifications!$E$2:$E$1001,MATCH($A9&amp;"|"&amp;$E9,Vérifications!$M$2:$M$1001,0)),""))</f>
      </c>
      <c r="G9" s="19">
        <f>IF($N9="","",IF(ISNUMBER($E9),EDATE($E9,$N9),IF(AND(ISNUMBER($U9),IFERROR(INDEX('Référentiel'!$E$2:$E$83,MATCH($C9,'Référentiel'!$A$2:$A$83,0)),0)&gt;0),EDATE($U9,IFERROR(INDEX('Référentiel'!$E$2:$E$83,MATCH($C9,'Référentiel'!$A$2:$A$83,0)),0)),"")))</f>
      </c>
      <c r="H9" s="21">
        <f>IF(ISNUMBER($G9),$G9-TODAY(),"")</f>
      </c>
      <c r="I9" s="20">
        <f>IF(AND($A9="",$C9=""),"",IF($T9="Non","Hors service",IF(AND($Q9="Location",ISNUMBER($R9),$R9&lt;TODAY()),"Location terminée",IF(OR($F9="Mise à l'arrêt",IF($A9="",0,SUMPRODUCT((Réserves!$B$2:$B$301=$A9)*(Réserves!$E$2:$E$301="Mise à l'arrêt")*(Réserves!$J$2:$J$301&lt;&gt;"Levée")*(Réserves!$J$2:$J$301&lt;&gt;"")))&gt;0),"Arrêt : réserve à lever",IF($C9="","Type à choisir",IF($N9="","Périodicité à saisir",IF(OR(ISTEXT($U9),ISTEXT($R9)),"Date à corriger",IF(AND($E9="",$Q9="Location",$S9&lt;&gt;"Oui"),"Rapport loueur à obtenir",IF(NOT(ISNUMBER($G9)),"Vérif. initiale à tracer",IF($H9&lt;0,"En retard",IF(AND($Q9="Location",$S9&lt;&gt;"Oui"),"Rapport loueur à obtenir",IF($H9&lt;='Tableau de bord'!$C$4,"À planifier","À jour"))))))))))))</f>
      </c>
      <c r="J9" s="22">
        <f>IF($A9="","",COUNTIFS(Réserves!$B$2:$B$301,$A9,Réserves!$J$2:$J$301,"Ouverte")+COUNTIFS(Réserves!$B$2:$B$301,$A9,Réserves!$J$2:$J$301,"En retard"))</f>
      </c>
      <c r="K9" s="20">
        <f>IF($C9="","",IFERROR(INDEX('Référentiel'!$B$2:$B$83,MATCH($C9,'Référentiel'!$A$2:$A$83,0)),"Type hors liste"))</f>
      </c>
      <c r="L9" s="22">
        <f>IF($C9="","",IF(IFERROR(INDEX('Référentiel'!$C$2:$C$83,MATCH($C9,'Référentiel'!$A$2:$A$83,0)),0)=0,"",IFERROR(INDEX('Référentiel'!$C$2:$C$83,MATCH($C9,'Référentiel'!$A$2:$A$83,0)),0)))</f>
      </c>
      <c r="M9" s="23"/>
      <c r="N9" s="22">
        <f>IF($C9="","",IF(IF($M9&lt;&gt;"",IF($L9&lt;&gt;"",MIN($L9,$M9),$M9),IF($L9&lt;&gt;"",$L9,IF(IFERROR(INDEX('Référentiel'!$D$2:$D$83,MATCH($C9,'Référentiel'!$A$2:$A$83,0)),0)&gt;0,IFERROR(INDEX('Référentiel'!$D$2:$D$83,MATCH($C9,'Référentiel'!$A$2:$A$83,0)),0),"")))="","",IF(AND(IFERROR(INDEX('Référentiel'!$F$2:$F$83,MATCH($C9,'Référentiel'!$A$2:$A$83,0)),0)&gt;0,N($J9)&gt;0),MIN(IF($M9&lt;&gt;"",IF($L9&lt;&gt;"",MIN($L9,$M9),$M9),IF($L9&lt;&gt;"",$L9,IF(IFERROR(INDEX('Référentiel'!$D$2:$D$83,MATCH($C9,'Référentiel'!$A$2:$A$83,0)),0)&gt;0,IFERROR(INDEX('Référentiel'!$D$2:$D$83,MATCH($C9,'Référentiel'!$A$2:$A$83,0)),0),""))),IFERROR(INDEX('Référentiel'!$F$2:$F$83,MATCH($C9,'Référentiel'!$A$2:$A$83,0)),0)),IF($M9&lt;&gt;"",IF($L9&lt;&gt;"",MIN($L9,$M9),$M9),IF($L9&lt;&gt;"",$L9,IF(IFERROR(INDEX('Référentiel'!$D$2:$D$83,MATCH($C9,'Référentiel'!$A$2:$A$83,0)),0)&gt;0,IFERROR(INDEX('Référentiel'!$D$2:$D$83,MATCH($C9,'Référentiel'!$A$2:$A$83,0)),0),""))))))</f>
      </c>
      <c r="O9" s="9"/>
      <c r="P9" s="23"/>
      <c r="Q9" s="9" t="s">
        <v>96</v>
      </c>
      <c r="R9" s="24"/>
      <c r="S9" s="23"/>
      <c r="T9" s="23" t="s">
        <v>97</v>
      </c>
      <c r="U9" s="24"/>
      <c r="V9" s="20">
        <f>IF($C9="","",IFERROR(INDEX('Référentiel'!$K$2:$K$83,MATCH($C9,'Référentiel'!$A$2:$A$83,0)),""))</f>
      </c>
      <c r="W9" s="20">
        <f>IF(AND(ISNUMBER($G9),$I9&lt;&gt;"Hors service",$I9&lt;&gt;"Location terminée"),$G9+ROW()/100000,"")</f>
      </c>
      <c r="X9" s="9"/>
    </row>
    <row r="10" spans="1:24" x14ac:dyDescent="0.25">
      <c r="A10" s="9" t="s">
        <v>123</v>
      </c>
      <c r="B10" s="9" t="s">
        <v>124</v>
      </c>
      <c r="C10" s="9" t="s">
        <v>125</v>
      </c>
      <c r="D10" s="9" t="s">
        <v>69</v>
      </c>
      <c r="E10" s="19">
        <f>IF($A10="","",IF(SUMPRODUCT(MAX((Vérifications!$B$2:$B$1001=$A10)*Vérifications!$L$2:$L$1001))=0,"",SUMPRODUCT(MAX((Vérifications!$B$2:$B$1001=$A10)*Vérifications!$L$2:$L$1001))))</f>
      </c>
      <c r="F10" s="20">
        <f>IF($E10="","",IFERROR(INDEX(Vérifications!$E$2:$E$1001,MATCH($A10&amp;"|"&amp;$E10,Vérifications!$M$2:$M$1001,0)),""))</f>
      </c>
      <c r="G10" s="19">
        <f>IF($N10="","",IF(ISNUMBER($E10),EDATE($E10,$N10),IF(AND(ISNUMBER($U10),IFERROR(INDEX('Référentiel'!$E$2:$E$83,MATCH($C10,'Référentiel'!$A$2:$A$83,0)),0)&gt;0),EDATE($U10,IFERROR(INDEX('Référentiel'!$E$2:$E$83,MATCH($C10,'Référentiel'!$A$2:$A$83,0)),0)),"")))</f>
      </c>
      <c r="H10" s="21">
        <f>IF(ISNUMBER($G10),$G10-TODAY(),"")</f>
      </c>
      <c r="I10" s="20">
        <f>IF(AND($A10="",$C10=""),"",IF($T10="Non","Hors service",IF(AND($Q10="Location",ISNUMBER($R10),$R10&lt;TODAY()),"Location terminée",IF(OR($F10="Mise à l'arrêt",IF($A10="",0,SUMPRODUCT((Réserves!$B$2:$B$301=$A10)*(Réserves!$E$2:$E$301="Mise à l'arrêt")*(Réserves!$J$2:$J$301&lt;&gt;"Levée")*(Réserves!$J$2:$J$301&lt;&gt;"")))&gt;0),"Arrêt : réserve à lever",IF($C10="","Type à choisir",IF($N10="","Périodicité à saisir",IF(OR(ISTEXT($U10),ISTEXT($R10)),"Date à corriger",IF(AND($E10="",$Q10="Location",$S10&lt;&gt;"Oui"),"Rapport loueur à obtenir",IF(NOT(ISNUMBER($G10)),"Vérif. initiale à tracer",IF($H10&lt;0,"En retard",IF(AND($Q10="Location",$S10&lt;&gt;"Oui"),"Rapport loueur à obtenir",IF($H10&lt;='Tableau de bord'!$C$4,"À planifier","À jour"))))))))))))</f>
      </c>
      <c r="J10" s="22">
        <f>IF($A10="","",COUNTIFS(Réserves!$B$2:$B$301,$A10,Réserves!$J$2:$J$301,"Ouverte")+COUNTIFS(Réserves!$B$2:$B$301,$A10,Réserves!$J$2:$J$301,"En retard"))</f>
      </c>
      <c r="K10" s="20">
        <f>IF($C10="","",IFERROR(INDEX('Référentiel'!$B$2:$B$83,MATCH($C10,'Référentiel'!$A$2:$A$83,0)),"Type hors liste"))</f>
      </c>
      <c r="L10" s="22">
        <f>IF($C10="","",IF(IFERROR(INDEX('Référentiel'!$C$2:$C$83,MATCH($C10,'Référentiel'!$A$2:$A$83,0)),0)=0,"",IFERROR(INDEX('Référentiel'!$C$2:$C$83,MATCH($C10,'Référentiel'!$A$2:$A$83,0)),0)))</f>
      </c>
      <c r="M10" s="23"/>
      <c r="N10" s="22">
        <f>IF($C10="","",IF(IF($M10&lt;&gt;"",IF($L10&lt;&gt;"",MIN($L10,$M10),$M10),IF($L10&lt;&gt;"",$L10,IF(IFERROR(INDEX('Référentiel'!$D$2:$D$83,MATCH($C10,'Référentiel'!$A$2:$A$83,0)),0)&gt;0,IFERROR(INDEX('Référentiel'!$D$2:$D$83,MATCH($C10,'Référentiel'!$A$2:$A$83,0)),0),"")))="","",IF(AND(IFERROR(INDEX('Référentiel'!$F$2:$F$83,MATCH($C10,'Référentiel'!$A$2:$A$83,0)),0)&gt;0,N($J10)&gt;0),MIN(IF($M10&lt;&gt;"",IF($L10&lt;&gt;"",MIN($L10,$M10),$M10),IF($L10&lt;&gt;"",$L10,IF(IFERROR(INDEX('Référentiel'!$D$2:$D$83,MATCH($C10,'Référentiel'!$A$2:$A$83,0)),0)&gt;0,IFERROR(INDEX('Référentiel'!$D$2:$D$83,MATCH($C10,'Référentiel'!$A$2:$A$83,0)),0),""))),IFERROR(INDEX('Référentiel'!$F$2:$F$83,MATCH($C10,'Référentiel'!$A$2:$A$83,0)),0)),IF($M10&lt;&gt;"",IF($L10&lt;&gt;"",MIN($L10,$M10),$M10),IF($L10&lt;&gt;"",$L10,IF(IFERROR(INDEX('Référentiel'!$D$2:$D$83,MATCH($C10,'Référentiel'!$A$2:$A$83,0)),0)&gt;0,IFERROR(INDEX('Référentiel'!$D$2:$D$83,MATCH($C10,'Référentiel'!$A$2:$A$83,0)),0),""))))))</f>
      </c>
      <c r="O10" s="9"/>
      <c r="P10" s="23">
        <v>12</v>
      </c>
      <c r="Q10" s="9" t="s">
        <v>96</v>
      </c>
      <c r="R10" s="24"/>
      <c r="S10" s="23"/>
      <c r="T10" s="23" t="s">
        <v>97</v>
      </c>
      <c r="U10" s="24"/>
      <c r="V10" s="20">
        <f>IF($C10="","",IFERROR(INDEX('Référentiel'!$K$2:$K$83,MATCH($C10,'Référentiel'!$A$2:$A$83,0)),""))</f>
      </c>
      <c r="W10" s="20">
        <f>IF(AND(ISNUMBER($G10),$I10&lt;&gt;"Hors service",$I10&lt;&gt;"Location terminée"),$G10+ROW()/100000,"")</f>
      </c>
      <c r="X10" s="9"/>
    </row>
    <row r="11" spans="1:24" x14ac:dyDescent="0.25">
      <c r="A11" s="9"/>
      <c r="B11" s="9"/>
      <c r="C11" s="9"/>
      <c r="D11" s="9"/>
      <c r="E11" s="19">
        <f>IF($A11="","",IF(SUMPRODUCT(MAX((Vérifications!$B$2:$B$1001=$A11)*Vérifications!$L$2:$L$1001))=0,"",SUMPRODUCT(MAX((Vérifications!$B$2:$B$1001=$A11)*Vérifications!$L$2:$L$1001))))</f>
      </c>
      <c r="F11" s="20">
        <f>IF($E11="","",IFERROR(INDEX(Vérifications!$E$2:$E$1001,MATCH($A11&amp;"|"&amp;$E11,Vérifications!$M$2:$M$1001,0)),""))</f>
      </c>
      <c r="G11" s="19">
        <f>IF($N11="","",IF(ISNUMBER($E11),EDATE($E11,$N11),IF(AND(ISNUMBER($U11),IFERROR(INDEX('Référentiel'!$E$2:$E$83,MATCH($C11,'Référentiel'!$A$2:$A$83,0)),0)&gt;0),EDATE($U11,IFERROR(INDEX('Référentiel'!$E$2:$E$83,MATCH($C11,'Référentiel'!$A$2:$A$83,0)),0)),"")))</f>
      </c>
      <c r="H11" s="21">
        <f>IF(ISNUMBER($G11),$G11-TODAY(),"")</f>
      </c>
      <c r="I11" s="20">
        <f>IF(AND($A11="",$C11=""),"",IF($T11="Non","Hors service",IF(AND($Q11="Location",ISNUMBER($R11),$R11&lt;TODAY()),"Location terminée",IF(OR($F11="Mise à l'arrêt",IF($A11="",0,SUMPRODUCT((Réserves!$B$2:$B$301=$A11)*(Réserves!$E$2:$E$301="Mise à l'arrêt")*(Réserves!$J$2:$J$301&lt;&gt;"Levée")*(Réserves!$J$2:$J$301&lt;&gt;"")))&gt;0),"Arrêt : réserve à lever",IF($C11="","Type à choisir",IF($N11="","Périodicité à saisir",IF(OR(ISTEXT($U11),ISTEXT($R11)),"Date à corriger",IF(AND($E11="",$Q11="Location",$S11&lt;&gt;"Oui"),"Rapport loueur à obtenir",IF(NOT(ISNUMBER($G11)),"Vérif. initiale à tracer",IF($H11&lt;0,"En retard",IF(AND($Q11="Location",$S11&lt;&gt;"Oui"),"Rapport loueur à obtenir",IF($H11&lt;='Tableau de bord'!$C$4,"À planifier","À jour"))))))))))))</f>
      </c>
      <c r="J11" s="22">
        <f>IF($A11="","",COUNTIFS(Réserves!$B$2:$B$301,$A11,Réserves!$J$2:$J$301,"Ouverte")+COUNTIFS(Réserves!$B$2:$B$301,$A11,Réserves!$J$2:$J$301,"En retard"))</f>
      </c>
      <c r="K11" s="20">
        <f>IF($C11="","",IFERROR(INDEX('Référentiel'!$B$2:$B$83,MATCH($C11,'Référentiel'!$A$2:$A$83,0)),"Type hors liste"))</f>
      </c>
      <c r="L11" s="22">
        <f>IF($C11="","",IF(IFERROR(INDEX('Référentiel'!$C$2:$C$83,MATCH($C11,'Référentiel'!$A$2:$A$83,0)),0)=0,"",IFERROR(INDEX('Référentiel'!$C$2:$C$83,MATCH($C11,'Référentiel'!$A$2:$A$83,0)),0)))</f>
      </c>
      <c r="M11" s="23"/>
      <c r="N11" s="22">
        <f>IF($C11="","",IF(IF($M11&lt;&gt;"",IF($L11&lt;&gt;"",MIN($L11,$M11),$M11),IF($L11&lt;&gt;"",$L11,IF(IFERROR(INDEX('Référentiel'!$D$2:$D$83,MATCH($C11,'Référentiel'!$A$2:$A$83,0)),0)&gt;0,IFERROR(INDEX('Référentiel'!$D$2:$D$83,MATCH($C11,'Référentiel'!$A$2:$A$83,0)),0),"")))="","",IF(AND(IFERROR(INDEX('Référentiel'!$F$2:$F$83,MATCH($C11,'Référentiel'!$A$2:$A$83,0)),0)&gt;0,N($J11)&gt;0),MIN(IF($M11&lt;&gt;"",IF($L11&lt;&gt;"",MIN($L11,$M11),$M11),IF($L11&lt;&gt;"",$L11,IF(IFERROR(INDEX('Référentiel'!$D$2:$D$83,MATCH($C11,'Référentiel'!$A$2:$A$83,0)),0)&gt;0,IFERROR(INDEX('Référentiel'!$D$2:$D$83,MATCH($C11,'Référentiel'!$A$2:$A$83,0)),0),""))),IFERROR(INDEX('Référentiel'!$F$2:$F$83,MATCH($C11,'Référentiel'!$A$2:$A$83,0)),0)),IF($M11&lt;&gt;"",IF($L11&lt;&gt;"",MIN($L11,$M11),$M11),IF($L11&lt;&gt;"",$L11,IF(IFERROR(INDEX('Référentiel'!$D$2:$D$83,MATCH($C11,'Référentiel'!$A$2:$A$83,0)),0)&gt;0,IFERROR(INDEX('Référentiel'!$D$2:$D$83,MATCH($C11,'Référentiel'!$A$2:$A$83,0)),0),""))))))</f>
      </c>
      <c r="O11" s="9"/>
      <c r="P11" s="23"/>
      <c r="Q11" s="9"/>
      <c r="R11" s="24"/>
      <c r="S11" s="23"/>
      <c r="T11" s="23"/>
      <c r="U11" s="24"/>
      <c r="V11" s="20">
        <f>IF($C11="","",IFERROR(INDEX('Référentiel'!$K$2:$K$83,MATCH($C11,'Référentiel'!$A$2:$A$83,0)),""))</f>
      </c>
      <c r="W11" s="20">
        <f>IF(AND(ISNUMBER($G11),$I11&lt;&gt;"Hors service",$I11&lt;&gt;"Location terminée"),$G11+ROW()/100000,"")</f>
      </c>
      <c r="X11" s="9"/>
    </row>
    <row r="12" spans="1:24" x14ac:dyDescent="0.25">
      <c r="A12" s="9"/>
      <c r="B12" s="9"/>
      <c r="C12" s="9"/>
      <c r="D12" s="9"/>
      <c r="E12" s="19">
        <f>IF($A12="","",IF(SUMPRODUCT(MAX((Vérifications!$B$2:$B$1001=$A12)*Vérifications!$L$2:$L$1001))=0,"",SUMPRODUCT(MAX((Vérifications!$B$2:$B$1001=$A12)*Vérifications!$L$2:$L$1001))))</f>
      </c>
      <c r="F12" s="20">
        <f>IF($E12="","",IFERROR(INDEX(Vérifications!$E$2:$E$1001,MATCH($A12&amp;"|"&amp;$E12,Vérifications!$M$2:$M$1001,0)),""))</f>
      </c>
      <c r="G12" s="19">
        <f>IF($N12="","",IF(ISNUMBER($E12),EDATE($E12,$N12),IF(AND(ISNUMBER($U12),IFERROR(INDEX('Référentiel'!$E$2:$E$83,MATCH($C12,'Référentiel'!$A$2:$A$83,0)),0)&gt;0),EDATE($U12,IFERROR(INDEX('Référentiel'!$E$2:$E$83,MATCH($C12,'Référentiel'!$A$2:$A$83,0)),0)),"")))</f>
      </c>
      <c r="H12" s="21">
        <f>IF(ISNUMBER($G12),$G12-TODAY(),"")</f>
      </c>
      <c r="I12" s="20">
        <f>IF(AND($A12="",$C12=""),"",IF($T12="Non","Hors service",IF(AND($Q12="Location",ISNUMBER($R12),$R12&lt;TODAY()),"Location terminée",IF(OR($F12="Mise à l'arrêt",IF($A12="",0,SUMPRODUCT((Réserves!$B$2:$B$301=$A12)*(Réserves!$E$2:$E$301="Mise à l'arrêt")*(Réserves!$J$2:$J$301&lt;&gt;"Levée")*(Réserves!$J$2:$J$301&lt;&gt;"")))&gt;0),"Arrêt : réserve à lever",IF($C12="","Type à choisir",IF($N12="","Périodicité à saisir",IF(OR(ISTEXT($U12),ISTEXT($R12)),"Date à corriger",IF(AND($E12="",$Q12="Location",$S12&lt;&gt;"Oui"),"Rapport loueur à obtenir",IF(NOT(ISNUMBER($G12)),"Vérif. initiale à tracer",IF($H12&lt;0,"En retard",IF(AND($Q12="Location",$S12&lt;&gt;"Oui"),"Rapport loueur à obtenir",IF($H12&lt;='Tableau de bord'!$C$4,"À planifier","À jour"))))))))))))</f>
      </c>
      <c r="J12" s="22">
        <f>IF($A12="","",COUNTIFS(Réserves!$B$2:$B$301,$A12,Réserves!$J$2:$J$301,"Ouverte")+COUNTIFS(Réserves!$B$2:$B$301,$A12,Réserves!$J$2:$J$301,"En retard"))</f>
      </c>
      <c r="K12" s="20">
        <f>IF($C12="","",IFERROR(INDEX('Référentiel'!$B$2:$B$83,MATCH($C12,'Référentiel'!$A$2:$A$83,0)),"Type hors liste"))</f>
      </c>
      <c r="L12" s="22">
        <f>IF($C12="","",IF(IFERROR(INDEX('Référentiel'!$C$2:$C$83,MATCH($C12,'Référentiel'!$A$2:$A$83,0)),0)=0,"",IFERROR(INDEX('Référentiel'!$C$2:$C$83,MATCH($C12,'Référentiel'!$A$2:$A$83,0)),0)))</f>
      </c>
      <c r="M12" s="23"/>
      <c r="N12" s="22">
        <f>IF($C12="","",IF(IF($M12&lt;&gt;"",IF($L12&lt;&gt;"",MIN($L12,$M12),$M12),IF($L12&lt;&gt;"",$L12,IF(IFERROR(INDEX('Référentiel'!$D$2:$D$83,MATCH($C12,'Référentiel'!$A$2:$A$83,0)),0)&gt;0,IFERROR(INDEX('Référentiel'!$D$2:$D$83,MATCH($C12,'Référentiel'!$A$2:$A$83,0)),0),"")))="","",IF(AND(IFERROR(INDEX('Référentiel'!$F$2:$F$83,MATCH($C12,'Référentiel'!$A$2:$A$83,0)),0)&gt;0,N($J12)&gt;0),MIN(IF($M12&lt;&gt;"",IF($L12&lt;&gt;"",MIN($L12,$M12),$M12),IF($L12&lt;&gt;"",$L12,IF(IFERROR(INDEX('Référentiel'!$D$2:$D$83,MATCH($C12,'Référentiel'!$A$2:$A$83,0)),0)&gt;0,IFERROR(INDEX('Référentiel'!$D$2:$D$83,MATCH($C12,'Référentiel'!$A$2:$A$83,0)),0),""))),IFERROR(INDEX('Référentiel'!$F$2:$F$83,MATCH($C12,'Référentiel'!$A$2:$A$83,0)),0)),IF($M12&lt;&gt;"",IF($L12&lt;&gt;"",MIN($L12,$M12),$M12),IF($L12&lt;&gt;"",$L12,IF(IFERROR(INDEX('Référentiel'!$D$2:$D$83,MATCH($C12,'Référentiel'!$A$2:$A$83,0)),0)&gt;0,IFERROR(INDEX('Référentiel'!$D$2:$D$83,MATCH($C12,'Référentiel'!$A$2:$A$83,0)),0),""))))))</f>
      </c>
      <c r="O12" s="9"/>
      <c r="P12" s="23"/>
      <c r="Q12" s="9"/>
      <c r="R12" s="24"/>
      <c r="S12" s="23"/>
      <c r="T12" s="23"/>
      <c r="U12" s="24"/>
      <c r="V12" s="20">
        <f>IF($C12="","",IFERROR(INDEX('Référentiel'!$K$2:$K$83,MATCH($C12,'Référentiel'!$A$2:$A$83,0)),""))</f>
      </c>
      <c r="W12" s="20">
        <f>IF(AND(ISNUMBER($G12),$I12&lt;&gt;"Hors service",$I12&lt;&gt;"Location terminée"),$G12+ROW()/100000,"")</f>
      </c>
      <c r="X12" s="9"/>
    </row>
    <row r="13" spans="1:24" x14ac:dyDescent="0.25">
      <c r="A13" s="9"/>
      <c r="B13" s="9"/>
      <c r="C13" s="9"/>
      <c r="D13" s="9"/>
      <c r="E13" s="19">
        <f>IF($A13="","",IF(SUMPRODUCT(MAX((Vérifications!$B$2:$B$1001=$A13)*Vérifications!$L$2:$L$1001))=0,"",SUMPRODUCT(MAX((Vérifications!$B$2:$B$1001=$A13)*Vérifications!$L$2:$L$1001))))</f>
      </c>
      <c r="F13" s="20">
        <f>IF($E13="","",IFERROR(INDEX(Vérifications!$E$2:$E$1001,MATCH($A13&amp;"|"&amp;$E13,Vérifications!$M$2:$M$1001,0)),""))</f>
      </c>
      <c r="G13" s="19">
        <f>IF($N13="","",IF(ISNUMBER($E13),EDATE($E13,$N13),IF(AND(ISNUMBER($U13),IFERROR(INDEX('Référentiel'!$E$2:$E$83,MATCH($C13,'Référentiel'!$A$2:$A$83,0)),0)&gt;0),EDATE($U13,IFERROR(INDEX('Référentiel'!$E$2:$E$83,MATCH($C13,'Référentiel'!$A$2:$A$83,0)),0)),"")))</f>
      </c>
      <c r="H13" s="21">
        <f>IF(ISNUMBER($G13),$G13-TODAY(),"")</f>
      </c>
      <c r="I13" s="20">
        <f>IF(AND($A13="",$C13=""),"",IF($T13="Non","Hors service",IF(AND($Q13="Location",ISNUMBER($R13),$R13&lt;TODAY()),"Location terminée",IF(OR($F13="Mise à l'arrêt",IF($A13="",0,SUMPRODUCT((Réserves!$B$2:$B$301=$A13)*(Réserves!$E$2:$E$301="Mise à l'arrêt")*(Réserves!$J$2:$J$301&lt;&gt;"Levée")*(Réserves!$J$2:$J$301&lt;&gt;"")))&gt;0),"Arrêt : réserve à lever",IF($C13="","Type à choisir",IF($N13="","Périodicité à saisir",IF(OR(ISTEXT($U13),ISTEXT($R13)),"Date à corriger",IF(AND($E13="",$Q13="Location",$S13&lt;&gt;"Oui"),"Rapport loueur à obtenir",IF(NOT(ISNUMBER($G13)),"Vérif. initiale à tracer",IF($H13&lt;0,"En retard",IF(AND($Q13="Location",$S13&lt;&gt;"Oui"),"Rapport loueur à obtenir",IF($H13&lt;='Tableau de bord'!$C$4,"À planifier","À jour"))))))))))))</f>
      </c>
      <c r="J13" s="22">
        <f>IF($A13="","",COUNTIFS(Réserves!$B$2:$B$301,$A13,Réserves!$J$2:$J$301,"Ouverte")+COUNTIFS(Réserves!$B$2:$B$301,$A13,Réserves!$J$2:$J$301,"En retard"))</f>
      </c>
      <c r="K13" s="20">
        <f>IF($C13="","",IFERROR(INDEX('Référentiel'!$B$2:$B$83,MATCH($C13,'Référentiel'!$A$2:$A$83,0)),"Type hors liste"))</f>
      </c>
      <c r="L13" s="22">
        <f>IF($C13="","",IF(IFERROR(INDEX('Référentiel'!$C$2:$C$83,MATCH($C13,'Référentiel'!$A$2:$A$83,0)),0)=0,"",IFERROR(INDEX('Référentiel'!$C$2:$C$83,MATCH($C13,'Référentiel'!$A$2:$A$83,0)),0)))</f>
      </c>
      <c r="M13" s="23"/>
      <c r="N13" s="22">
        <f>IF($C13="","",IF(IF($M13&lt;&gt;"",IF($L13&lt;&gt;"",MIN($L13,$M13),$M13),IF($L13&lt;&gt;"",$L13,IF(IFERROR(INDEX('Référentiel'!$D$2:$D$83,MATCH($C13,'Référentiel'!$A$2:$A$83,0)),0)&gt;0,IFERROR(INDEX('Référentiel'!$D$2:$D$83,MATCH($C13,'Référentiel'!$A$2:$A$83,0)),0),"")))="","",IF(AND(IFERROR(INDEX('Référentiel'!$F$2:$F$83,MATCH($C13,'Référentiel'!$A$2:$A$83,0)),0)&gt;0,N($J13)&gt;0),MIN(IF($M13&lt;&gt;"",IF($L13&lt;&gt;"",MIN($L13,$M13),$M13),IF($L13&lt;&gt;"",$L13,IF(IFERROR(INDEX('Référentiel'!$D$2:$D$83,MATCH($C13,'Référentiel'!$A$2:$A$83,0)),0)&gt;0,IFERROR(INDEX('Référentiel'!$D$2:$D$83,MATCH($C13,'Référentiel'!$A$2:$A$83,0)),0),""))),IFERROR(INDEX('Référentiel'!$F$2:$F$83,MATCH($C13,'Référentiel'!$A$2:$A$83,0)),0)),IF($M13&lt;&gt;"",IF($L13&lt;&gt;"",MIN($L13,$M13),$M13),IF($L13&lt;&gt;"",$L13,IF(IFERROR(INDEX('Référentiel'!$D$2:$D$83,MATCH($C13,'Référentiel'!$A$2:$A$83,0)),0)&gt;0,IFERROR(INDEX('Référentiel'!$D$2:$D$83,MATCH($C13,'Référentiel'!$A$2:$A$83,0)),0),""))))))</f>
      </c>
      <c r="O13" s="9"/>
      <c r="P13" s="23"/>
      <c r="Q13" s="9"/>
      <c r="R13" s="24"/>
      <c r="S13" s="23"/>
      <c r="T13" s="23"/>
      <c r="U13" s="24"/>
      <c r="V13" s="20">
        <f>IF($C13="","",IFERROR(INDEX('Référentiel'!$K$2:$K$83,MATCH($C13,'Référentiel'!$A$2:$A$83,0)),""))</f>
      </c>
      <c r="W13" s="20">
        <f>IF(AND(ISNUMBER($G13),$I13&lt;&gt;"Hors service",$I13&lt;&gt;"Location terminée"),$G13+ROW()/100000,"")</f>
      </c>
      <c r="X13" s="9"/>
    </row>
    <row r="14" spans="1:24" x14ac:dyDescent="0.25">
      <c r="A14" s="9"/>
      <c r="B14" s="9"/>
      <c r="C14" s="9"/>
      <c r="D14" s="9"/>
      <c r="E14" s="19">
        <f>IF($A14="","",IF(SUMPRODUCT(MAX((Vérifications!$B$2:$B$1001=$A14)*Vérifications!$L$2:$L$1001))=0,"",SUMPRODUCT(MAX((Vérifications!$B$2:$B$1001=$A14)*Vérifications!$L$2:$L$1001))))</f>
      </c>
      <c r="F14" s="20">
        <f>IF($E14="","",IFERROR(INDEX(Vérifications!$E$2:$E$1001,MATCH($A14&amp;"|"&amp;$E14,Vérifications!$M$2:$M$1001,0)),""))</f>
      </c>
      <c r="G14" s="19">
        <f>IF($N14="","",IF(ISNUMBER($E14),EDATE($E14,$N14),IF(AND(ISNUMBER($U14),IFERROR(INDEX('Référentiel'!$E$2:$E$83,MATCH($C14,'Référentiel'!$A$2:$A$83,0)),0)&gt;0),EDATE($U14,IFERROR(INDEX('Référentiel'!$E$2:$E$83,MATCH($C14,'Référentiel'!$A$2:$A$83,0)),0)),"")))</f>
      </c>
      <c r="H14" s="21">
        <f>IF(ISNUMBER($G14),$G14-TODAY(),"")</f>
      </c>
      <c r="I14" s="20">
        <f>IF(AND($A14="",$C14=""),"",IF($T14="Non","Hors service",IF(AND($Q14="Location",ISNUMBER($R14),$R14&lt;TODAY()),"Location terminée",IF(OR($F14="Mise à l'arrêt",IF($A14="",0,SUMPRODUCT((Réserves!$B$2:$B$301=$A14)*(Réserves!$E$2:$E$301="Mise à l'arrêt")*(Réserves!$J$2:$J$301&lt;&gt;"Levée")*(Réserves!$J$2:$J$301&lt;&gt;"")))&gt;0),"Arrêt : réserve à lever",IF($C14="","Type à choisir",IF($N14="","Périodicité à saisir",IF(OR(ISTEXT($U14),ISTEXT($R14)),"Date à corriger",IF(AND($E14="",$Q14="Location",$S14&lt;&gt;"Oui"),"Rapport loueur à obtenir",IF(NOT(ISNUMBER($G14)),"Vérif. initiale à tracer",IF($H14&lt;0,"En retard",IF(AND($Q14="Location",$S14&lt;&gt;"Oui"),"Rapport loueur à obtenir",IF($H14&lt;='Tableau de bord'!$C$4,"À planifier","À jour"))))))))))))</f>
      </c>
      <c r="J14" s="22">
        <f>IF($A14="","",COUNTIFS(Réserves!$B$2:$B$301,$A14,Réserves!$J$2:$J$301,"Ouverte")+COUNTIFS(Réserves!$B$2:$B$301,$A14,Réserves!$J$2:$J$301,"En retard"))</f>
      </c>
      <c r="K14" s="20">
        <f>IF($C14="","",IFERROR(INDEX('Référentiel'!$B$2:$B$83,MATCH($C14,'Référentiel'!$A$2:$A$83,0)),"Type hors liste"))</f>
      </c>
      <c r="L14" s="22">
        <f>IF($C14="","",IF(IFERROR(INDEX('Référentiel'!$C$2:$C$83,MATCH($C14,'Référentiel'!$A$2:$A$83,0)),0)=0,"",IFERROR(INDEX('Référentiel'!$C$2:$C$83,MATCH($C14,'Référentiel'!$A$2:$A$83,0)),0)))</f>
      </c>
      <c r="M14" s="23"/>
      <c r="N14" s="22">
        <f>IF($C14="","",IF(IF($M14&lt;&gt;"",IF($L14&lt;&gt;"",MIN($L14,$M14),$M14),IF($L14&lt;&gt;"",$L14,IF(IFERROR(INDEX('Référentiel'!$D$2:$D$83,MATCH($C14,'Référentiel'!$A$2:$A$83,0)),0)&gt;0,IFERROR(INDEX('Référentiel'!$D$2:$D$83,MATCH($C14,'Référentiel'!$A$2:$A$83,0)),0),"")))="","",IF(AND(IFERROR(INDEX('Référentiel'!$F$2:$F$83,MATCH($C14,'Référentiel'!$A$2:$A$83,0)),0)&gt;0,N($J14)&gt;0),MIN(IF($M14&lt;&gt;"",IF($L14&lt;&gt;"",MIN($L14,$M14),$M14),IF($L14&lt;&gt;"",$L14,IF(IFERROR(INDEX('Référentiel'!$D$2:$D$83,MATCH($C14,'Référentiel'!$A$2:$A$83,0)),0)&gt;0,IFERROR(INDEX('Référentiel'!$D$2:$D$83,MATCH($C14,'Référentiel'!$A$2:$A$83,0)),0),""))),IFERROR(INDEX('Référentiel'!$F$2:$F$83,MATCH($C14,'Référentiel'!$A$2:$A$83,0)),0)),IF($M14&lt;&gt;"",IF($L14&lt;&gt;"",MIN($L14,$M14),$M14),IF($L14&lt;&gt;"",$L14,IF(IFERROR(INDEX('Référentiel'!$D$2:$D$83,MATCH($C14,'Référentiel'!$A$2:$A$83,0)),0)&gt;0,IFERROR(INDEX('Référentiel'!$D$2:$D$83,MATCH($C14,'Référentiel'!$A$2:$A$83,0)),0),""))))))</f>
      </c>
      <c r="O14" s="9"/>
      <c r="P14" s="23"/>
      <c r="Q14" s="9"/>
      <c r="R14" s="24"/>
      <c r="S14" s="23"/>
      <c r="T14" s="23"/>
      <c r="U14" s="24"/>
      <c r="V14" s="20">
        <f>IF($C14="","",IFERROR(INDEX('Référentiel'!$K$2:$K$83,MATCH($C14,'Référentiel'!$A$2:$A$83,0)),""))</f>
      </c>
      <c r="W14" s="20">
        <f>IF(AND(ISNUMBER($G14),$I14&lt;&gt;"Hors service",$I14&lt;&gt;"Location terminée"),$G14+ROW()/100000,"")</f>
      </c>
      <c r="X14" s="9"/>
    </row>
    <row r="15" spans="1:24" x14ac:dyDescent="0.25">
      <c r="A15" s="9"/>
      <c r="B15" s="9"/>
      <c r="C15" s="9"/>
      <c r="D15" s="9"/>
      <c r="E15" s="19">
        <f>IF($A15="","",IF(SUMPRODUCT(MAX((Vérifications!$B$2:$B$1001=$A15)*Vérifications!$L$2:$L$1001))=0,"",SUMPRODUCT(MAX((Vérifications!$B$2:$B$1001=$A15)*Vérifications!$L$2:$L$1001))))</f>
      </c>
      <c r="F15" s="20">
        <f>IF($E15="","",IFERROR(INDEX(Vérifications!$E$2:$E$1001,MATCH($A15&amp;"|"&amp;$E15,Vérifications!$M$2:$M$1001,0)),""))</f>
      </c>
      <c r="G15" s="19">
        <f>IF($N15="","",IF(ISNUMBER($E15),EDATE($E15,$N15),IF(AND(ISNUMBER($U15),IFERROR(INDEX('Référentiel'!$E$2:$E$83,MATCH($C15,'Référentiel'!$A$2:$A$83,0)),0)&gt;0),EDATE($U15,IFERROR(INDEX('Référentiel'!$E$2:$E$83,MATCH($C15,'Référentiel'!$A$2:$A$83,0)),0)),"")))</f>
      </c>
      <c r="H15" s="21">
        <f>IF(ISNUMBER($G15),$G15-TODAY(),"")</f>
      </c>
      <c r="I15" s="20">
        <f>IF(AND($A15="",$C15=""),"",IF($T15="Non","Hors service",IF(AND($Q15="Location",ISNUMBER($R15),$R15&lt;TODAY()),"Location terminée",IF(OR($F15="Mise à l'arrêt",IF($A15="",0,SUMPRODUCT((Réserves!$B$2:$B$301=$A15)*(Réserves!$E$2:$E$301="Mise à l'arrêt")*(Réserves!$J$2:$J$301&lt;&gt;"Levée")*(Réserves!$J$2:$J$301&lt;&gt;"")))&gt;0),"Arrêt : réserve à lever",IF($C15="","Type à choisir",IF($N15="","Périodicité à saisir",IF(OR(ISTEXT($U15),ISTEXT($R15)),"Date à corriger",IF(AND($E15="",$Q15="Location",$S15&lt;&gt;"Oui"),"Rapport loueur à obtenir",IF(NOT(ISNUMBER($G15)),"Vérif. initiale à tracer",IF($H15&lt;0,"En retard",IF(AND($Q15="Location",$S15&lt;&gt;"Oui"),"Rapport loueur à obtenir",IF($H15&lt;='Tableau de bord'!$C$4,"À planifier","À jour"))))))))))))</f>
      </c>
      <c r="J15" s="22">
        <f>IF($A15="","",COUNTIFS(Réserves!$B$2:$B$301,$A15,Réserves!$J$2:$J$301,"Ouverte")+COUNTIFS(Réserves!$B$2:$B$301,$A15,Réserves!$J$2:$J$301,"En retard"))</f>
      </c>
      <c r="K15" s="20">
        <f>IF($C15="","",IFERROR(INDEX('Référentiel'!$B$2:$B$83,MATCH($C15,'Référentiel'!$A$2:$A$83,0)),"Type hors liste"))</f>
      </c>
      <c r="L15" s="22">
        <f>IF($C15="","",IF(IFERROR(INDEX('Référentiel'!$C$2:$C$83,MATCH($C15,'Référentiel'!$A$2:$A$83,0)),0)=0,"",IFERROR(INDEX('Référentiel'!$C$2:$C$83,MATCH($C15,'Référentiel'!$A$2:$A$83,0)),0)))</f>
      </c>
      <c r="M15" s="23"/>
      <c r="N15" s="22">
        <f>IF($C15="","",IF(IF($M15&lt;&gt;"",IF($L15&lt;&gt;"",MIN($L15,$M15),$M15),IF($L15&lt;&gt;"",$L15,IF(IFERROR(INDEX('Référentiel'!$D$2:$D$83,MATCH($C15,'Référentiel'!$A$2:$A$83,0)),0)&gt;0,IFERROR(INDEX('Référentiel'!$D$2:$D$83,MATCH($C15,'Référentiel'!$A$2:$A$83,0)),0),"")))="","",IF(AND(IFERROR(INDEX('Référentiel'!$F$2:$F$83,MATCH($C15,'Référentiel'!$A$2:$A$83,0)),0)&gt;0,N($J15)&gt;0),MIN(IF($M15&lt;&gt;"",IF($L15&lt;&gt;"",MIN($L15,$M15),$M15),IF($L15&lt;&gt;"",$L15,IF(IFERROR(INDEX('Référentiel'!$D$2:$D$83,MATCH($C15,'Référentiel'!$A$2:$A$83,0)),0)&gt;0,IFERROR(INDEX('Référentiel'!$D$2:$D$83,MATCH($C15,'Référentiel'!$A$2:$A$83,0)),0),""))),IFERROR(INDEX('Référentiel'!$F$2:$F$83,MATCH($C15,'Référentiel'!$A$2:$A$83,0)),0)),IF($M15&lt;&gt;"",IF($L15&lt;&gt;"",MIN($L15,$M15),$M15),IF($L15&lt;&gt;"",$L15,IF(IFERROR(INDEX('Référentiel'!$D$2:$D$83,MATCH($C15,'Référentiel'!$A$2:$A$83,0)),0)&gt;0,IFERROR(INDEX('Référentiel'!$D$2:$D$83,MATCH($C15,'Référentiel'!$A$2:$A$83,0)),0),""))))))</f>
      </c>
      <c r="O15" s="9"/>
      <c r="P15" s="23"/>
      <c r="Q15" s="9"/>
      <c r="R15" s="24"/>
      <c r="S15" s="23"/>
      <c r="T15" s="23"/>
      <c r="U15" s="24"/>
      <c r="V15" s="20">
        <f>IF($C15="","",IFERROR(INDEX('Référentiel'!$K$2:$K$83,MATCH($C15,'Référentiel'!$A$2:$A$83,0)),""))</f>
      </c>
      <c r="W15" s="20">
        <f>IF(AND(ISNUMBER($G15),$I15&lt;&gt;"Hors service",$I15&lt;&gt;"Location terminée"),$G15+ROW()/100000,"")</f>
      </c>
      <c r="X15" s="9"/>
    </row>
    <row r="16" spans="1:24" x14ac:dyDescent="0.25">
      <c r="A16" s="9"/>
      <c r="B16" s="9"/>
      <c r="C16" s="9"/>
      <c r="D16" s="9"/>
      <c r="E16" s="19">
        <f>IF($A16="","",IF(SUMPRODUCT(MAX((Vérifications!$B$2:$B$1001=$A16)*Vérifications!$L$2:$L$1001))=0,"",SUMPRODUCT(MAX((Vérifications!$B$2:$B$1001=$A16)*Vérifications!$L$2:$L$1001))))</f>
      </c>
      <c r="F16" s="20">
        <f>IF($E16="","",IFERROR(INDEX(Vérifications!$E$2:$E$1001,MATCH($A16&amp;"|"&amp;$E16,Vérifications!$M$2:$M$1001,0)),""))</f>
      </c>
      <c r="G16" s="19">
        <f>IF($N16="","",IF(ISNUMBER($E16),EDATE($E16,$N16),IF(AND(ISNUMBER($U16),IFERROR(INDEX('Référentiel'!$E$2:$E$83,MATCH($C16,'Référentiel'!$A$2:$A$83,0)),0)&gt;0),EDATE($U16,IFERROR(INDEX('Référentiel'!$E$2:$E$83,MATCH($C16,'Référentiel'!$A$2:$A$83,0)),0)),"")))</f>
      </c>
      <c r="H16" s="21">
        <f>IF(ISNUMBER($G16),$G16-TODAY(),"")</f>
      </c>
      <c r="I16" s="20">
        <f>IF(AND($A16="",$C16=""),"",IF($T16="Non","Hors service",IF(AND($Q16="Location",ISNUMBER($R16),$R16&lt;TODAY()),"Location terminée",IF(OR($F16="Mise à l'arrêt",IF($A16="",0,SUMPRODUCT((Réserves!$B$2:$B$301=$A16)*(Réserves!$E$2:$E$301="Mise à l'arrêt")*(Réserves!$J$2:$J$301&lt;&gt;"Levée")*(Réserves!$J$2:$J$301&lt;&gt;"")))&gt;0),"Arrêt : réserve à lever",IF($C16="","Type à choisir",IF($N16="","Périodicité à saisir",IF(OR(ISTEXT($U16),ISTEXT($R16)),"Date à corriger",IF(AND($E16="",$Q16="Location",$S16&lt;&gt;"Oui"),"Rapport loueur à obtenir",IF(NOT(ISNUMBER($G16)),"Vérif. initiale à tracer",IF($H16&lt;0,"En retard",IF(AND($Q16="Location",$S16&lt;&gt;"Oui"),"Rapport loueur à obtenir",IF($H16&lt;='Tableau de bord'!$C$4,"À planifier","À jour"))))))))))))</f>
      </c>
      <c r="J16" s="22">
        <f>IF($A16="","",COUNTIFS(Réserves!$B$2:$B$301,$A16,Réserves!$J$2:$J$301,"Ouverte")+COUNTIFS(Réserves!$B$2:$B$301,$A16,Réserves!$J$2:$J$301,"En retard"))</f>
      </c>
      <c r="K16" s="20">
        <f>IF($C16="","",IFERROR(INDEX('Référentiel'!$B$2:$B$83,MATCH($C16,'Référentiel'!$A$2:$A$83,0)),"Type hors liste"))</f>
      </c>
      <c r="L16" s="22">
        <f>IF($C16="","",IF(IFERROR(INDEX('Référentiel'!$C$2:$C$83,MATCH($C16,'Référentiel'!$A$2:$A$83,0)),0)=0,"",IFERROR(INDEX('Référentiel'!$C$2:$C$83,MATCH($C16,'Référentiel'!$A$2:$A$83,0)),0)))</f>
      </c>
      <c r="M16" s="23"/>
      <c r="N16" s="22">
        <f>IF($C16="","",IF(IF($M16&lt;&gt;"",IF($L16&lt;&gt;"",MIN($L16,$M16),$M16),IF($L16&lt;&gt;"",$L16,IF(IFERROR(INDEX('Référentiel'!$D$2:$D$83,MATCH($C16,'Référentiel'!$A$2:$A$83,0)),0)&gt;0,IFERROR(INDEX('Référentiel'!$D$2:$D$83,MATCH($C16,'Référentiel'!$A$2:$A$83,0)),0),"")))="","",IF(AND(IFERROR(INDEX('Référentiel'!$F$2:$F$83,MATCH($C16,'Référentiel'!$A$2:$A$83,0)),0)&gt;0,N($J16)&gt;0),MIN(IF($M16&lt;&gt;"",IF($L16&lt;&gt;"",MIN($L16,$M16),$M16),IF($L16&lt;&gt;"",$L16,IF(IFERROR(INDEX('Référentiel'!$D$2:$D$83,MATCH($C16,'Référentiel'!$A$2:$A$83,0)),0)&gt;0,IFERROR(INDEX('Référentiel'!$D$2:$D$83,MATCH($C16,'Référentiel'!$A$2:$A$83,0)),0),""))),IFERROR(INDEX('Référentiel'!$F$2:$F$83,MATCH($C16,'Référentiel'!$A$2:$A$83,0)),0)),IF($M16&lt;&gt;"",IF($L16&lt;&gt;"",MIN($L16,$M16),$M16),IF($L16&lt;&gt;"",$L16,IF(IFERROR(INDEX('Référentiel'!$D$2:$D$83,MATCH($C16,'Référentiel'!$A$2:$A$83,0)),0)&gt;0,IFERROR(INDEX('Référentiel'!$D$2:$D$83,MATCH($C16,'Référentiel'!$A$2:$A$83,0)),0),""))))))</f>
      </c>
      <c r="O16" s="9"/>
      <c r="P16" s="23"/>
      <c r="Q16" s="9"/>
      <c r="R16" s="24"/>
      <c r="S16" s="23"/>
      <c r="T16" s="23"/>
      <c r="U16" s="24"/>
      <c r="V16" s="20">
        <f>IF($C16="","",IFERROR(INDEX('Référentiel'!$K$2:$K$83,MATCH($C16,'Référentiel'!$A$2:$A$83,0)),""))</f>
      </c>
      <c r="W16" s="20">
        <f>IF(AND(ISNUMBER($G16),$I16&lt;&gt;"Hors service",$I16&lt;&gt;"Location terminée"),$G16+ROW()/100000,"")</f>
      </c>
      <c r="X16" s="9"/>
    </row>
    <row r="17" spans="1:24" x14ac:dyDescent="0.25">
      <c r="A17" s="9"/>
      <c r="B17" s="9"/>
      <c r="C17" s="9"/>
      <c r="D17" s="9"/>
      <c r="E17" s="19">
        <f>IF($A17="","",IF(SUMPRODUCT(MAX((Vérifications!$B$2:$B$1001=$A17)*Vérifications!$L$2:$L$1001))=0,"",SUMPRODUCT(MAX((Vérifications!$B$2:$B$1001=$A17)*Vérifications!$L$2:$L$1001))))</f>
      </c>
      <c r="F17" s="20">
        <f>IF($E17="","",IFERROR(INDEX(Vérifications!$E$2:$E$1001,MATCH($A17&amp;"|"&amp;$E17,Vérifications!$M$2:$M$1001,0)),""))</f>
      </c>
      <c r="G17" s="19">
        <f>IF($N17="","",IF(ISNUMBER($E17),EDATE($E17,$N17),IF(AND(ISNUMBER($U17),IFERROR(INDEX('Référentiel'!$E$2:$E$83,MATCH($C17,'Référentiel'!$A$2:$A$83,0)),0)&gt;0),EDATE($U17,IFERROR(INDEX('Référentiel'!$E$2:$E$83,MATCH($C17,'Référentiel'!$A$2:$A$83,0)),0)),"")))</f>
      </c>
      <c r="H17" s="21">
        <f>IF(ISNUMBER($G17),$G17-TODAY(),"")</f>
      </c>
      <c r="I17" s="20">
        <f>IF(AND($A17="",$C17=""),"",IF($T17="Non","Hors service",IF(AND($Q17="Location",ISNUMBER($R17),$R17&lt;TODAY()),"Location terminée",IF(OR($F17="Mise à l'arrêt",IF($A17="",0,SUMPRODUCT((Réserves!$B$2:$B$301=$A17)*(Réserves!$E$2:$E$301="Mise à l'arrêt")*(Réserves!$J$2:$J$301&lt;&gt;"Levée")*(Réserves!$J$2:$J$301&lt;&gt;"")))&gt;0),"Arrêt : réserve à lever",IF($C17="","Type à choisir",IF($N17="","Périodicité à saisir",IF(OR(ISTEXT($U17),ISTEXT($R17)),"Date à corriger",IF(AND($E17="",$Q17="Location",$S17&lt;&gt;"Oui"),"Rapport loueur à obtenir",IF(NOT(ISNUMBER($G17)),"Vérif. initiale à tracer",IF($H17&lt;0,"En retard",IF(AND($Q17="Location",$S17&lt;&gt;"Oui"),"Rapport loueur à obtenir",IF($H17&lt;='Tableau de bord'!$C$4,"À planifier","À jour"))))))))))))</f>
      </c>
      <c r="J17" s="22">
        <f>IF($A17="","",COUNTIFS(Réserves!$B$2:$B$301,$A17,Réserves!$J$2:$J$301,"Ouverte")+COUNTIFS(Réserves!$B$2:$B$301,$A17,Réserves!$J$2:$J$301,"En retard"))</f>
      </c>
      <c r="K17" s="20">
        <f>IF($C17="","",IFERROR(INDEX('Référentiel'!$B$2:$B$83,MATCH($C17,'Référentiel'!$A$2:$A$83,0)),"Type hors liste"))</f>
      </c>
      <c r="L17" s="22">
        <f>IF($C17="","",IF(IFERROR(INDEX('Référentiel'!$C$2:$C$83,MATCH($C17,'Référentiel'!$A$2:$A$83,0)),0)=0,"",IFERROR(INDEX('Référentiel'!$C$2:$C$83,MATCH($C17,'Référentiel'!$A$2:$A$83,0)),0)))</f>
      </c>
      <c r="M17" s="23"/>
      <c r="N17" s="22">
        <f>IF($C17="","",IF(IF($M17&lt;&gt;"",IF($L17&lt;&gt;"",MIN($L17,$M17),$M17),IF($L17&lt;&gt;"",$L17,IF(IFERROR(INDEX('Référentiel'!$D$2:$D$83,MATCH($C17,'Référentiel'!$A$2:$A$83,0)),0)&gt;0,IFERROR(INDEX('Référentiel'!$D$2:$D$83,MATCH($C17,'Référentiel'!$A$2:$A$83,0)),0),"")))="","",IF(AND(IFERROR(INDEX('Référentiel'!$F$2:$F$83,MATCH($C17,'Référentiel'!$A$2:$A$83,0)),0)&gt;0,N($J17)&gt;0),MIN(IF($M17&lt;&gt;"",IF($L17&lt;&gt;"",MIN($L17,$M17),$M17),IF($L17&lt;&gt;"",$L17,IF(IFERROR(INDEX('Référentiel'!$D$2:$D$83,MATCH($C17,'Référentiel'!$A$2:$A$83,0)),0)&gt;0,IFERROR(INDEX('Référentiel'!$D$2:$D$83,MATCH($C17,'Référentiel'!$A$2:$A$83,0)),0),""))),IFERROR(INDEX('Référentiel'!$F$2:$F$83,MATCH($C17,'Référentiel'!$A$2:$A$83,0)),0)),IF($M17&lt;&gt;"",IF($L17&lt;&gt;"",MIN($L17,$M17),$M17),IF($L17&lt;&gt;"",$L17,IF(IFERROR(INDEX('Référentiel'!$D$2:$D$83,MATCH($C17,'Référentiel'!$A$2:$A$83,0)),0)&gt;0,IFERROR(INDEX('Référentiel'!$D$2:$D$83,MATCH($C17,'Référentiel'!$A$2:$A$83,0)),0),""))))))</f>
      </c>
      <c r="O17" s="9"/>
      <c r="P17" s="23"/>
      <c r="Q17" s="9"/>
      <c r="R17" s="24"/>
      <c r="S17" s="23"/>
      <c r="T17" s="23"/>
      <c r="U17" s="24"/>
      <c r="V17" s="20">
        <f>IF($C17="","",IFERROR(INDEX('Référentiel'!$K$2:$K$83,MATCH($C17,'Référentiel'!$A$2:$A$83,0)),""))</f>
      </c>
      <c r="W17" s="20">
        <f>IF(AND(ISNUMBER($G17),$I17&lt;&gt;"Hors service",$I17&lt;&gt;"Location terminée"),$G17+ROW()/100000,"")</f>
      </c>
      <c r="X17" s="9"/>
    </row>
    <row r="18" spans="1:24" x14ac:dyDescent="0.25">
      <c r="A18" s="9"/>
      <c r="B18" s="9"/>
      <c r="C18" s="9"/>
      <c r="D18" s="9"/>
      <c r="E18" s="19">
        <f>IF($A18="","",IF(SUMPRODUCT(MAX((Vérifications!$B$2:$B$1001=$A18)*Vérifications!$L$2:$L$1001))=0,"",SUMPRODUCT(MAX((Vérifications!$B$2:$B$1001=$A18)*Vérifications!$L$2:$L$1001))))</f>
      </c>
      <c r="F18" s="20">
        <f>IF($E18="","",IFERROR(INDEX(Vérifications!$E$2:$E$1001,MATCH($A18&amp;"|"&amp;$E18,Vérifications!$M$2:$M$1001,0)),""))</f>
      </c>
      <c r="G18" s="19">
        <f>IF($N18="","",IF(ISNUMBER($E18),EDATE($E18,$N18),IF(AND(ISNUMBER($U18),IFERROR(INDEX('Référentiel'!$E$2:$E$83,MATCH($C18,'Référentiel'!$A$2:$A$83,0)),0)&gt;0),EDATE($U18,IFERROR(INDEX('Référentiel'!$E$2:$E$83,MATCH($C18,'Référentiel'!$A$2:$A$83,0)),0)),"")))</f>
      </c>
      <c r="H18" s="21">
        <f>IF(ISNUMBER($G18),$G18-TODAY(),"")</f>
      </c>
      <c r="I18" s="20">
        <f>IF(AND($A18="",$C18=""),"",IF($T18="Non","Hors service",IF(AND($Q18="Location",ISNUMBER($R18),$R18&lt;TODAY()),"Location terminée",IF(OR($F18="Mise à l'arrêt",IF($A18="",0,SUMPRODUCT((Réserves!$B$2:$B$301=$A18)*(Réserves!$E$2:$E$301="Mise à l'arrêt")*(Réserves!$J$2:$J$301&lt;&gt;"Levée")*(Réserves!$J$2:$J$301&lt;&gt;"")))&gt;0),"Arrêt : réserve à lever",IF($C18="","Type à choisir",IF($N18="","Périodicité à saisir",IF(OR(ISTEXT($U18),ISTEXT($R18)),"Date à corriger",IF(AND($E18="",$Q18="Location",$S18&lt;&gt;"Oui"),"Rapport loueur à obtenir",IF(NOT(ISNUMBER($G18)),"Vérif. initiale à tracer",IF($H18&lt;0,"En retard",IF(AND($Q18="Location",$S18&lt;&gt;"Oui"),"Rapport loueur à obtenir",IF($H18&lt;='Tableau de bord'!$C$4,"À planifier","À jour"))))))))))))</f>
      </c>
      <c r="J18" s="22">
        <f>IF($A18="","",COUNTIFS(Réserves!$B$2:$B$301,$A18,Réserves!$J$2:$J$301,"Ouverte")+COUNTIFS(Réserves!$B$2:$B$301,$A18,Réserves!$J$2:$J$301,"En retard"))</f>
      </c>
      <c r="K18" s="20">
        <f>IF($C18="","",IFERROR(INDEX('Référentiel'!$B$2:$B$83,MATCH($C18,'Référentiel'!$A$2:$A$83,0)),"Type hors liste"))</f>
      </c>
      <c r="L18" s="22">
        <f>IF($C18="","",IF(IFERROR(INDEX('Référentiel'!$C$2:$C$83,MATCH($C18,'Référentiel'!$A$2:$A$83,0)),0)=0,"",IFERROR(INDEX('Référentiel'!$C$2:$C$83,MATCH($C18,'Référentiel'!$A$2:$A$83,0)),0)))</f>
      </c>
      <c r="M18" s="23"/>
      <c r="N18" s="22">
        <f>IF($C18="","",IF(IF($M18&lt;&gt;"",IF($L18&lt;&gt;"",MIN($L18,$M18),$M18),IF($L18&lt;&gt;"",$L18,IF(IFERROR(INDEX('Référentiel'!$D$2:$D$83,MATCH($C18,'Référentiel'!$A$2:$A$83,0)),0)&gt;0,IFERROR(INDEX('Référentiel'!$D$2:$D$83,MATCH($C18,'Référentiel'!$A$2:$A$83,0)),0),"")))="","",IF(AND(IFERROR(INDEX('Référentiel'!$F$2:$F$83,MATCH($C18,'Référentiel'!$A$2:$A$83,0)),0)&gt;0,N($J18)&gt;0),MIN(IF($M18&lt;&gt;"",IF($L18&lt;&gt;"",MIN($L18,$M18),$M18),IF($L18&lt;&gt;"",$L18,IF(IFERROR(INDEX('Référentiel'!$D$2:$D$83,MATCH($C18,'Référentiel'!$A$2:$A$83,0)),0)&gt;0,IFERROR(INDEX('Référentiel'!$D$2:$D$83,MATCH($C18,'Référentiel'!$A$2:$A$83,0)),0),""))),IFERROR(INDEX('Référentiel'!$F$2:$F$83,MATCH($C18,'Référentiel'!$A$2:$A$83,0)),0)),IF($M18&lt;&gt;"",IF($L18&lt;&gt;"",MIN($L18,$M18),$M18),IF($L18&lt;&gt;"",$L18,IF(IFERROR(INDEX('Référentiel'!$D$2:$D$83,MATCH($C18,'Référentiel'!$A$2:$A$83,0)),0)&gt;0,IFERROR(INDEX('Référentiel'!$D$2:$D$83,MATCH($C18,'Référentiel'!$A$2:$A$83,0)),0),""))))))</f>
      </c>
      <c r="O18" s="9"/>
      <c r="P18" s="23"/>
      <c r="Q18" s="9"/>
      <c r="R18" s="24"/>
      <c r="S18" s="23"/>
      <c r="T18" s="23"/>
      <c r="U18" s="24"/>
      <c r="V18" s="20">
        <f>IF($C18="","",IFERROR(INDEX('Référentiel'!$K$2:$K$83,MATCH($C18,'Référentiel'!$A$2:$A$83,0)),""))</f>
      </c>
      <c r="W18" s="20">
        <f>IF(AND(ISNUMBER($G18),$I18&lt;&gt;"Hors service",$I18&lt;&gt;"Location terminée"),$G18+ROW()/100000,"")</f>
      </c>
      <c r="X18" s="9"/>
    </row>
    <row r="19" spans="1:24" x14ac:dyDescent="0.25">
      <c r="A19" s="9"/>
      <c r="B19" s="9"/>
      <c r="C19" s="9"/>
      <c r="D19" s="9"/>
      <c r="E19" s="19">
        <f>IF($A19="","",IF(SUMPRODUCT(MAX((Vérifications!$B$2:$B$1001=$A19)*Vérifications!$L$2:$L$1001))=0,"",SUMPRODUCT(MAX((Vérifications!$B$2:$B$1001=$A19)*Vérifications!$L$2:$L$1001))))</f>
      </c>
      <c r="F19" s="20">
        <f>IF($E19="","",IFERROR(INDEX(Vérifications!$E$2:$E$1001,MATCH($A19&amp;"|"&amp;$E19,Vérifications!$M$2:$M$1001,0)),""))</f>
      </c>
      <c r="G19" s="19">
        <f>IF($N19="","",IF(ISNUMBER($E19),EDATE($E19,$N19),IF(AND(ISNUMBER($U19),IFERROR(INDEX('Référentiel'!$E$2:$E$83,MATCH($C19,'Référentiel'!$A$2:$A$83,0)),0)&gt;0),EDATE($U19,IFERROR(INDEX('Référentiel'!$E$2:$E$83,MATCH($C19,'Référentiel'!$A$2:$A$83,0)),0)),"")))</f>
      </c>
      <c r="H19" s="21">
        <f>IF(ISNUMBER($G19),$G19-TODAY(),"")</f>
      </c>
      <c r="I19" s="20">
        <f>IF(AND($A19="",$C19=""),"",IF($T19="Non","Hors service",IF(AND($Q19="Location",ISNUMBER($R19),$R19&lt;TODAY()),"Location terminée",IF(OR($F19="Mise à l'arrêt",IF($A19="",0,SUMPRODUCT((Réserves!$B$2:$B$301=$A19)*(Réserves!$E$2:$E$301="Mise à l'arrêt")*(Réserves!$J$2:$J$301&lt;&gt;"Levée")*(Réserves!$J$2:$J$301&lt;&gt;"")))&gt;0),"Arrêt : réserve à lever",IF($C19="","Type à choisir",IF($N19="","Périodicité à saisir",IF(OR(ISTEXT($U19),ISTEXT($R19)),"Date à corriger",IF(AND($E19="",$Q19="Location",$S19&lt;&gt;"Oui"),"Rapport loueur à obtenir",IF(NOT(ISNUMBER($G19)),"Vérif. initiale à tracer",IF($H19&lt;0,"En retard",IF(AND($Q19="Location",$S19&lt;&gt;"Oui"),"Rapport loueur à obtenir",IF($H19&lt;='Tableau de bord'!$C$4,"À planifier","À jour"))))))))))))</f>
      </c>
      <c r="J19" s="22">
        <f>IF($A19="","",COUNTIFS(Réserves!$B$2:$B$301,$A19,Réserves!$J$2:$J$301,"Ouverte")+COUNTIFS(Réserves!$B$2:$B$301,$A19,Réserves!$J$2:$J$301,"En retard"))</f>
      </c>
      <c r="K19" s="20">
        <f>IF($C19="","",IFERROR(INDEX('Référentiel'!$B$2:$B$83,MATCH($C19,'Référentiel'!$A$2:$A$83,0)),"Type hors liste"))</f>
      </c>
      <c r="L19" s="22">
        <f>IF($C19="","",IF(IFERROR(INDEX('Référentiel'!$C$2:$C$83,MATCH($C19,'Référentiel'!$A$2:$A$83,0)),0)=0,"",IFERROR(INDEX('Référentiel'!$C$2:$C$83,MATCH($C19,'Référentiel'!$A$2:$A$83,0)),0)))</f>
      </c>
      <c r="M19" s="23"/>
      <c r="N19" s="22">
        <f>IF($C19="","",IF(IF($M19&lt;&gt;"",IF($L19&lt;&gt;"",MIN($L19,$M19),$M19),IF($L19&lt;&gt;"",$L19,IF(IFERROR(INDEX('Référentiel'!$D$2:$D$83,MATCH($C19,'Référentiel'!$A$2:$A$83,0)),0)&gt;0,IFERROR(INDEX('Référentiel'!$D$2:$D$83,MATCH($C19,'Référentiel'!$A$2:$A$83,0)),0),"")))="","",IF(AND(IFERROR(INDEX('Référentiel'!$F$2:$F$83,MATCH($C19,'Référentiel'!$A$2:$A$83,0)),0)&gt;0,N($J19)&gt;0),MIN(IF($M19&lt;&gt;"",IF($L19&lt;&gt;"",MIN($L19,$M19),$M19),IF($L19&lt;&gt;"",$L19,IF(IFERROR(INDEX('Référentiel'!$D$2:$D$83,MATCH($C19,'Référentiel'!$A$2:$A$83,0)),0)&gt;0,IFERROR(INDEX('Référentiel'!$D$2:$D$83,MATCH($C19,'Référentiel'!$A$2:$A$83,0)),0),""))),IFERROR(INDEX('Référentiel'!$F$2:$F$83,MATCH($C19,'Référentiel'!$A$2:$A$83,0)),0)),IF($M19&lt;&gt;"",IF($L19&lt;&gt;"",MIN($L19,$M19),$M19),IF($L19&lt;&gt;"",$L19,IF(IFERROR(INDEX('Référentiel'!$D$2:$D$83,MATCH($C19,'Référentiel'!$A$2:$A$83,0)),0)&gt;0,IFERROR(INDEX('Référentiel'!$D$2:$D$83,MATCH($C19,'Référentiel'!$A$2:$A$83,0)),0),""))))))</f>
      </c>
      <c r="O19" s="9"/>
      <c r="P19" s="23"/>
      <c r="Q19" s="9"/>
      <c r="R19" s="24"/>
      <c r="S19" s="23"/>
      <c r="T19" s="23"/>
      <c r="U19" s="24"/>
      <c r="V19" s="20">
        <f>IF($C19="","",IFERROR(INDEX('Référentiel'!$K$2:$K$83,MATCH($C19,'Référentiel'!$A$2:$A$83,0)),""))</f>
      </c>
      <c r="W19" s="20">
        <f>IF(AND(ISNUMBER($G19),$I19&lt;&gt;"Hors service",$I19&lt;&gt;"Location terminée"),$G19+ROW()/100000,"")</f>
      </c>
      <c r="X19" s="9"/>
    </row>
    <row r="20" spans="1:24" x14ac:dyDescent="0.25">
      <c r="A20" s="9"/>
      <c r="B20" s="9"/>
      <c r="C20" s="9"/>
      <c r="D20" s="9"/>
      <c r="E20" s="19">
        <f>IF($A20="","",IF(SUMPRODUCT(MAX((Vérifications!$B$2:$B$1001=$A20)*Vérifications!$L$2:$L$1001))=0,"",SUMPRODUCT(MAX((Vérifications!$B$2:$B$1001=$A20)*Vérifications!$L$2:$L$1001))))</f>
      </c>
      <c r="F20" s="20">
        <f>IF($E20="","",IFERROR(INDEX(Vérifications!$E$2:$E$1001,MATCH($A20&amp;"|"&amp;$E20,Vérifications!$M$2:$M$1001,0)),""))</f>
      </c>
      <c r="G20" s="19">
        <f>IF($N20="","",IF(ISNUMBER($E20),EDATE($E20,$N20),IF(AND(ISNUMBER($U20),IFERROR(INDEX('Référentiel'!$E$2:$E$83,MATCH($C20,'Référentiel'!$A$2:$A$83,0)),0)&gt;0),EDATE($U20,IFERROR(INDEX('Référentiel'!$E$2:$E$83,MATCH($C20,'Référentiel'!$A$2:$A$83,0)),0)),"")))</f>
      </c>
      <c r="H20" s="21">
        <f>IF(ISNUMBER($G20),$G20-TODAY(),"")</f>
      </c>
      <c r="I20" s="20">
        <f>IF(AND($A20="",$C20=""),"",IF($T20="Non","Hors service",IF(AND($Q20="Location",ISNUMBER($R20),$R20&lt;TODAY()),"Location terminée",IF(OR($F20="Mise à l'arrêt",IF($A20="",0,SUMPRODUCT((Réserves!$B$2:$B$301=$A20)*(Réserves!$E$2:$E$301="Mise à l'arrêt")*(Réserves!$J$2:$J$301&lt;&gt;"Levée")*(Réserves!$J$2:$J$301&lt;&gt;"")))&gt;0),"Arrêt : réserve à lever",IF($C20="","Type à choisir",IF($N20="","Périodicité à saisir",IF(OR(ISTEXT($U20),ISTEXT($R20)),"Date à corriger",IF(AND($E20="",$Q20="Location",$S20&lt;&gt;"Oui"),"Rapport loueur à obtenir",IF(NOT(ISNUMBER($G20)),"Vérif. initiale à tracer",IF($H20&lt;0,"En retard",IF(AND($Q20="Location",$S20&lt;&gt;"Oui"),"Rapport loueur à obtenir",IF($H20&lt;='Tableau de bord'!$C$4,"À planifier","À jour"))))))))))))</f>
      </c>
      <c r="J20" s="22">
        <f>IF($A20="","",COUNTIFS(Réserves!$B$2:$B$301,$A20,Réserves!$J$2:$J$301,"Ouverte")+COUNTIFS(Réserves!$B$2:$B$301,$A20,Réserves!$J$2:$J$301,"En retard"))</f>
      </c>
      <c r="K20" s="20">
        <f>IF($C20="","",IFERROR(INDEX('Référentiel'!$B$2:$B$83,MATCH($C20,'Référentiel'!$A$2:$A$83,0)),"Type hors liste"))</f>
      </c>
      <c r="L20" s="22">
        <f>IF($C20="","",IF(IFERROR(INDEX('Référentiel'!$C$2:$C$83,MATCH($C20,'Référentiel'!$A$2:$A$83,0)),0)=0,"",IFERROR(INDEX('Référentiel'!$C$2:$C$83,MATCH($C20,'Référentiel'!$A$2:$A$83,0)),0)))</f>
      </c>
      <c r="M20" s="23"/>
      <c r="N20" s="22">
        <f>IF($C20="","",IF(IF($M20&lt;&gt;"",IF($L20&lt;&gt;"",MIN($L20,$M20),$M20),IF($L20&lt;&gt;"",$L20,IF(IFERROR(INDEX('Référentiel'!$D$2:$D$83,MATCH($C20,'Référentiel'!$A$2:$A$83,0)),0)&gt;0,IFERROR(INDEX('Référentiel'!$D$2:$D$83,MATCH($C20,'Référentiel'!$A$2:$A$83,0)),0),"")))="","",IF(AND(IFERROR(INDEX('Référentiel'!$F$2:$F$83,MATCH($C20,'Référentiel'!$A$2:$A$83,0)),0)&gt;0,N($J20)&gt;0),MIN(IF($M20&lt;&gt;"",IF($L20&lt;&gt;"",MIN($L20,$M20),$M20),IF($L20&lt;&gt;"",$L20,IF(IFERROR(INDEX('Référentiel'!$D$2:$D$83,MATCH($C20,'Référentiel'!$A$2:$A$83,0)),0)&gt;0,IFERROR(INDEX('Référentiel'!$D$2:$D$83,MATCH($C20,'Référentiel'!$A$2:$A$83,0)),0),""))),IFERROR(INDEX('Référentiel'!$F$2:$F$83,MATCH($C20,'Référentiel'!$A$2:$A$83,0)),0)),IF($M20&lt;&gt;"",IF($L20&lt;&gt;"",MIN($L20,$M20),$M20),IF($L20&lt;&gt;"",$L20,IF(IFERROR(INDEX('Référentiel'!$D$2:$D$83,MATCH($C20,'Référentiel'!$A$2:$A$83,0)),0)&gt;0,IFERROR(INDEX('Référentiel'!$D$2:$D$83,MATCH($C20,'Référentiel'!$A$2:$A$83,0)),0),""))))))</f>
      </c>
      <c r="O20" s="9"/>
      <c r="P20" s="23"/>
      <c r="Q20" s="9"/>
      <c r="R20" s="24"/>
      <c r="S20" s="23"/>
      <c r="T20" s="23"/>
      <c r="U20" s="24"/>
      <c r="V20" s="20">
        <f>IF($C20="","",IFERROR(INDEX('Référentiel'!$K$2:$K$83,MATCH($C20,'Référentiel'!$A$2:$A$83,0)),""))</f>
      </c>
      <c r="W20" s="20">
        <f>IF(AND(ISNUMBER($G20),$I20&lt;&gt;"Hors service",$I20&lt;&gt;"Location terminée"),$G20+ROW()/100000,"")</f>
      </c>
      <c r="X20" s="9"/>
    </row>
    <row r="21" spans="1:24" x14ac:dyDescent="0.25">
      <c r="A21" s="9"/>
      <c r="B21" s="9"/>
      <c r="C21" s="9"/>
      <c r="D21" s="9"/>
      <c r="E21" s="19">
        <f>IF($A21="","",IF(SUMPRODUCT(MAX((Vérifications!$B$2:$B$1001=$A21)*Vérifications!$L$2:$L$1001))=0,"",SUMPRODUCT(MAX((Vérifications!$B$2:$B$1001=$A21)*Vérifications!$L$2:$L$1001))))</f>
      </c>
      <c r="F21" s="20">
        <f>IF($E21="","",IFERROR(INDEX(Vérifications!$E$2:$E$1001,MATCH($A21&amp;"|"&amp;$E21,Vérifications!$M$2:$M$1001,0)),""))</f>
      </c>
      <c r="G21" s="19">
        <f>IF($N21="","",IF(ISNUMBER($E21),EDATE($E21,$N21),IF(AND(ISNUMBER($U21),IFERROR(INDEX('Référentiel'!$E$2:$E$83,MATCH($C21,'Référentiel'!$A$2:$A$83,0)),0)&gt;0),EDATE($U21,IFERROR(INDEX('Référentiel'!$E$2:$E$83,MATCH($C21,'Référentiel'!$A$2:$A$83,0)),0)),"")))</f>
      </c>
      <c r="H21" s="21">
        <f>IF(ISNUMBER($G21),$G21-TODAY(),"")</f>
      </c>
      <c r="I21" s="20">
        <f>IF(AND($A21="",$C21=""),"",IF($T21="Non","Hors service",IF(AND($Q21="Location",ISNUMBER($R21),$R21&lt;TODAY()),"Location terminée",IF(OR($F21="Mise à l'arrêt",IF($A21="",0,SUMPRODUCT((Réserves!$B$2:$B$301=$A21)*(Réserves!$E$2:$E$301="Mise à l'arrêt")*(Réserves!$J$2:$J$301&lt;&gt;"Levée")*(Réserves!$J$2:$J$301&lt;&gt;"")))&gt;0),"Arrêt : réserve à lever",IF($C21="","Type à choisir",IF($N21="","Périodicité à saisir",IF(OR(ISTEXT($U21),ISTEXT($R21)),"Date à corriger",IF(AND($E21="",$Q21="Location",$S21&lt;&gt;"Oui"),"Rapport loueur à obtenir",IF(NOT(ISNUMBER($G21)),"Vérif. initiale à tracer",IF($H21&lt;0,"En retard",IF(AND($Q21="Location",$S21&lt;&gt;"Oui"),"Rapport loueur à obtenir",IF($H21&lt;='Tableau de bord'!$C$4,"À planifier","À jour"))))))))))))</f>
      </c>
      <c r="J21" s="22">
        <f>IF($A21="","",COUNTIFS(Réserves!$B$2:$B$301,$A21,Réserves!$J$2:$J$301,"Ouverte")+COUNTIFS(Réserves!$B$2:$B$301,$A21,Réserves!$J$2:$J$301,"En retard"))</f>
      </c>
      <c r="K21" s="20">
        <f>IF($C21="","",IFERROR(INDEX('Référentiel'!$B$2:$B$83,MATCH($C21,'Référentiel'!$A$2:$A$83,0)),"Type hors liste"))</f>
      </c>
      <c r="L21" s="22">
        <f>IF($C21="","",IF(IFERROR(INDEX('Référentiel'!$C$2:$C$83,MATCH($C21,'Référentiel'!$A$2:$A$83,0)),0)=0,"",IFERROR(INDEX('Référentiel'!$C$2:$C$83,MATCH($C21,'Référentiel'!$A$2:$A$83,0)),0)))</f>
      </c>
      <c r="M21" s="23"/>
      <c r="N21" s="22">
        <f>IF($C21="","",IF(IF($M21&lt;&gt;"",IF($L21&lt;&gt;"",MIN($L21,$M21),$M21),IF($L21&lt;&gt;"",$L21,IF(IFERROR(INDEX('Référentiel'!$D$2:$D$83,MATCH($C21,'Référentiel'!$A$2:$A$83,0)),0)&gt;0,IFERROR(INDEX('Référentiel'!$D$2:$D$83,MATCH($C21,'Référentiel'!$A$2:$A$83,0)),0),"")))="","",IF(AND(IFERROR(INDEX('Référentiel'!$F$2:$F$83,MATCH($C21,'Référentiel'!$A$2:$A$83,0)),0)&gt;0,N($J21)&gt;0),MIN(IF($M21&lt;&gt;"",IF($L21&lt;&gt;"",MIN($L21,$M21),$M21),IF($L21&lt;&gt;"",$L21,IF(IFERROR(INDEX('Référentiel'!$D$2:$D$83,MATCH($C21,'Référentiel'!$A$2:$A$83,0)),0)&gt;0,IFERROR(INDEX('Référentiel'!$D$2:$D$83,MATCH($C21,'Référentiel'!$A$2:$A$83,0)),0),""))),IFERROR(INDEX('Référentiel'!$F$2:$F$83,MATCH($C21,'Référentiel'!$A$2:$A$83,0)),0)),IF($M21&lt;&gt;"",IF($L21&lt;&gt;"",MIN($L21,$M21),$M21),IF($L21&lt;&gt;"",$L21,IF(IFERROR(INDEX('Référentiel'!$D$2:$D$83,MATCH($C21,'Référentiel'!$A$2:$A$83,0)),0)&gt;0,IFERROR(INDEX('Référentiel'!$D$2:$D$83,MATCH($C21,'Référentiel'!$A$2:$A$83,0)),0),""))))))</f>
      </c>
      <c r="O21" s="9"/>
      <c r="P21" s="23"/>
      <c r="Q21" s="9"/>
      <c r="R21" s="24"/>
      <c r="S21" s="23"/>
      <c r="T21" s="23"/>
      <c r="U21" s="24"/>
      <c r="V21" s="20">
        <f>IF($C21="","",IFERROR(INDEX('Référentiel'!$K$2:$K$83,MATCH($C21,'Référentiel'!$A$2:$A$83,0)),""))</f>
      </c>
      <c r="W21" s="20">
        <f>IF(AND(ISNUMBER($G21),$I21&lt;&gt;"Hors service",$I21&lt;&gt;"Location terminée"),$G21+ROW()/100000,"")</f>
      </c>
      <c r="X21" s="9"/>
    </row>
    <row r="22" spans="1:24" x14ac:dyDescent="0.25">
      <c r="A22" s="9"/>
      <c r="B22" s="9"/>
      <c r="C22" s="9"/>
      <c r="D22" s="9"/>
      <c r="E22" s="19">
        <f>IF($A22="","",IF(SUMPRODUCT(MAX((Vérifications!$B$2:$B$1001=$A22)*Vérifications!$L$2:$L$1001))=0,"",SUMPRODUCT(MAX((Vérifications!$B$2:$B$1001=$A22)*Vérifications!$L$2:$L$1001))))</f>
      </c>
      <c r="F22" s="20">
        <f>IF($E22="","",IFERROR(INDEX(Vérifications!$E$2:$E$1001,MATCH($A22&amp;"|"&amp;$E22,Vérifications!$M$2:$M$1001,0)),""))</f>
      </c>
      <c r="G22" s="19">
        <f>IF($N22="","",IF(ISNUMBER($E22),EDATE($E22,$N22),IF(AND(ISNUMBER($U22),IFERROR(INDEX('Référentiel'!$E$2:$E$83,MATCH($C22,'Référentiel'!$A$2:$A$83,0)),0)&gt;0),EDATE($U22,IFERROR(INDEX('Référentiel'!$E$2:$E$83,MATCH($C22,'Référentiel'!$A$2:$A$83,0)),0)),"")))</f>
      </c>
      <c r="H22" s="21">
        <f>IF(ISNUMBER($G22),$G22-TODAY(),"")</f>
      </c>
      <c r="I22" s="20">
        <f>IF(AND($A22="",$C22=""),"",IF($T22="Non","Hors service",IF(AND($Q22="Location",ISNUMBER($R22),$R22&lt;TODAY()),"Location terminée",IF(OR($F22="Mise à l'arrêt",IF($A22="",0,SUMPRODUCT((Réserves!$B$2:$B$301=$A22)*(Réserves!$E$2:$E$301="Mise à l'arrêt")*(Réserves!$J$2:$J$301&lt;&gt;"Levée")*(Réserves!$J$2:$J$301&lt;&gt;"")))&gt;0),"Arrêt : réserve à lever",IF($C22="","Type à choisir",IF($N22="","Périodicité à saisir",IF(OR(ISTEXT($U22),ISTEXT($R22)),"Date à corriger",IF(AND($E22="",$Q22="Location",$S22&lt;&gt;"Oui"),"Rapport loueur à obtenir",IF(NOT(ISNUMBER($G22)),"Vérif. initiale à tracer",IF($H22&lt;0,"En retard",IF(AND($Q22="Location",$S22&lt;&gt;"Oui"),"Rapport loueur à obtenir",IF($H22&lt;='Tableau de bord'!$C$4,"À planifier","À jour"))))))))))))</f>
      </c>
      <c r="J22" s="22">
        <f>IF($A22="","",COUNTIFS(Réserves!$B$2:$B$301,$A22,Réserves!$J$2:$J$301,"Ouverte")+COUNTIFS(Réserves!$B$2:$B$301,$A22,Réserves!$J$2:$J$301,"En retard"))</f>
      </c>
      <c r="K22" s="20">
        <f>IF($C22="","",IFERROR(INDEX('Référentiel'!$B$2:$B$83,MATCH($C22,'Référentiel'!$A$2:$A$83,0)),"Type hors liste"))</f>
      </c>
      <c r="L22" s="22">
        <f>IF($C22="","",IF(IFERROR(INDEX('Référentiel'!$C$2:$C$83,MATCH($C22,'Référentiel'!$A$2:$A$83,0)),0)=0,"",IFERROR(INDEX('Référentiel'!$C$2:$C$83,MATCH($C22,'Référentiel'!$A$2:$A$83,0)),0)))</f>
      </c>
      <c r="M22" s="23"/>
      <c r="N22" s="22">
        <f>IF($C22="","",IF(IF($M22&lt;&gt;"",IF($L22&lt;&gt;"",MIN($L22,$M22),$M22),IF($L22&lt;&gt;"",$L22,IF(IFERROR(INDEX('Référentiel'!$D$2:$D$83,MATCH($C22,'Référentiel'!$A$2:$A$83,0)),0)&gt;0,IFERROR(INDEX('Référentiel'!$D$2:$D$83,MATCH($C22,'Référentiel'!$A$2:$A$83,0)),0),"")))="","",IF(AND(IFERROR(INDEX('Référentiel'!$F$2:$F$83,MATCH($C22,'Référentiel'!$A$2:$A$83,0)),0)&gt;0,N($J22)&gt;0),MIN(IF($M22&lt;&gt;"",IF($L22&lt;&gt;"",MIN($L22,$M22),$M22),IF($L22&lt;&gt;"",$L22,IF(IFERROR(INDEX('Référentiel'!$D$2:$D$83,MATCH($C22,'Référentiel'!$A$2:$A$83,0)),0)&gt;0,IFERROR(INDEX('Référentiel'!$D$2:$D$83,MATCH($C22,'Référentiel'!$A$2:$A$83,0)),0),""))),IFERROR(INDEX('Référentiel'!$F$2:$F$83,MATCH($C22,'Référentiel'!$A$2:$A$83,0)),0)),IF($M22&lt;&gt;"",IF($L22&lt;&gt;"",MIN($L22,$M22),$M22),IF($L22&lt;&gt;"",$L22,IF(IFERROR(INDEX('Référentiel'!$D$2:$D$83,MATCH($C22,'Référentiel'!$A$2:$A$83,0)),0)&gt;0,IFERROR(INDEX('Référentiel'!$D$2:$D$83,MATCH($C22,'Référentiel'!$A$2:$A$83,0)),0),""))))))</f>
      </c>
      <c r="O22" s="9"/>
      <c r="P22" s="23"/>
      <c r="Q22" s="9"/>
      <c r="R22" s="24"/>
      <c r="S22" s="23"/>
      <c r="T22" s="23"/>
      <c r="U22" s="24"/>
      <c r="V22" s="20">
        <f>IF($C22="","",IFERROR(INDEX('Référentiel'!$K$2:$K$83,MATCH($C22,'Référentiel'!$A$2:$A$83,0)),""))</f>
      </c>
      <c r="W22" s="20">
        <f>IF(AND(ISNUMBER($G22),$I22&lt;&gt;"Hors service",$I22&lt;&gt;"Location terminée"),$G22+ROW()/100000,"")</f>
      </c>
      <c r="X22" s="9"/>
    </row>
    <row r="23" spans="1:24" x14ac:dyDescent="0.25">
      <c r="A23" s="9"/>
      <c r="B23" s="9"/>
      <c r="C23" s="9"/>
      <c r="D23" s="9"/>
      <c r="E23" s="19">
        <f>IF($A23="","",IF(SUMPRODUCT(MAX((Vérifications!$B$2:$B$1001=$A23)*Vérifications!$L$2:$L$1001))=0,"",SUMPRODUCT(MAX((Vérifications!$B$2:$B$1001=$A23)*Vérifications!$L$2:$L$1001))))</f>
      </c>
      <c r="F23" s="20">
        <f>IF($E23="","",IFERROR(INDEX(Vérifications!$E$2:$E$1001,MATCH($A23&amp;"|"&amp;$E23,Vérifications!$M$2:$M$1001,0)),""))</f>
      </c>
      <c r="G23" s="19">
        <f>IF($N23="","",IF(ISNUMBER($E23),EDATE($E23,$N23),IF(AND(ISNUMBER($U23),IFERROR(INDEX('Référentiel'!$E$2:$E$83,MATCH($C23,'Référentiel'!$A$2:$A$83,0)),0)&gt;0),EDATE($U23,IFERROR(INDEX('Référentiel'!$E$2:$E$83,MATCH($C23,'Référentiel'!$A$2:$A$83,0)),0)),"")))</f>
      </c>
      <c r="H23" s="21">
        <f>IF(ISNUMBER($G23),$G23-TODAY(),"")</f>
      </c>
      <c r="I23" s="20">
        <f>IF(AND($A23="",$C23=""),"",IF($T23="Non","Hors service",IF(AND($Q23="Location",ISNUMBER($R23),$R23&lt;TODAY()),"Location terminée",IF(OR($F23="Mise à l'arrêt",IF($A23="",0,SUMPRODUCT((Réserves!$B$2:$B$301=$A23)*(Réserves!$E$2:$E$301="Mise à l'arrêt")*(Réserves!$J$2:$J$301&lt;&gt;"Levée")*(Réserves!$J$2:$J$301&lt;&gt;"")))&gt;0),"Arrêt : réserve à lever",IF($C23="","Type à choisir",IF($N23="","Périodicité à saisir",IF(OR(ISTEXT($U23),ISTEXT($R23)),"Date à corriger",IF(AND($E23="",$Q23="Location",$S23&lt;&gt;"Oui"),"Rapport loueur à obtenir",IF(NOT(ISNUMBER($G23)),"Vérif. initiale à tracer",IF($H23&lt;0,"En retard",IF(AND($Q23="Location",$S23&lt;&gt;"Oui"),"Rapport loueur à obtenir",IF($H23&lt;='Tableau de bord'!$C$4,"À planifier","À jour"))))))))))))</f>
      </c>
      <c r="J23" s="22">
        <f>IF($A23="","",COUNTIFS(Réserves!$B$2:$B$301,$A23,Réserves!$J$2:$J$301,"Ouverte")+COUNTIFS(Réserves!$B$2:$B$301,$A23,Réserves!$J$2:$J$301,"En retard"))</f>
      </c>
      <c r="K23" s="20">
        <f>IF($C23="","",IFERROR(INDEX('Référentiel'!$B$2:$B$83,MATCH($C23,'Référentiel'!$A$2:$A$83,0)),"Type hors liste"))</f>
      </c>
      <c r="L23" s="22">
        <f>IF($C23="","",IF(IFERROR(INDEX('Référentiel'!$C$2:$C$83,MATCH($C23,'Référentiel'!$A$2:$A$83,0)),0)=0,"",IFERROR(INDEX('Référentiel'!$C$2:$C$83,MATCH($C23,'Référentiel'!$A$2:$A$83,0)),0)))</f>
      </c>
      <c r="M23" s="23"/>
      <c r="N23" s="22">
        <f>IF($C23="","",IF(IF($M23&lt;&gt;"",IF($L23&lt;&gt;"",MIN($L23,$M23),$M23),IF($L23&lt;&gt;"",$L23,IF(IFERROR(INDEX('Référentiel'!$D$2:$D$83,MATCH($C23,'Référentiel'!$A$2:$A$83,0)),0)&gt;0,IFERROR(INDEX('Référentiel'!$D$2:$D$83,MATCH($C23,'Référentiel'!$A$2:$A$83,0)),0),"")))="","",IF(AND(IFERROR(INDEX('Référentiel'!$F$2:$F$83,MATCH($C23,'Référentiel'!$A$2:$A$83,0)),0)&gt;0,N($J23)&gt;0),MIN(IF($M23&lt;&gt;"",IF($L23&lt;&gt;"",MIN($L23,$M23),$M23),IF($L23&lt;&gt;"",$L23,IF(IFERROR(INDEX('Référentiel'!$D$2:$D$83,MATCH($C23,'Référentiel'!$A$2:$A$83,0)),0)&gt;0,IFERROR(INDEX('Référentiel'!$D$2:$D$83,MATCH($C23,'Référentiel'!$A$2:$A$83,0)),0),""))),IFERROR(INDEX('Référentiel'!$F$2:$F$83,MATCH($C23,'Référentiel'!$A$2:$A$83,0)),0)),IF($M23&lt;&gt;"",IF($L23&lt;&gt;"",MIN($L23,$M23),$M23),IF($L23&lt;&gt;"",$L23,IF(IFERROR(INDEX('Référentiel'!$D$2:$D$83,MATCH($C23,'Référentiel'!$A$2:$A$83,0)),0)&gt;0,IFERROR(INDEX('Référentiel'!$D$2:$D$83,MATCH($C23,'Référentiel'!$A$2:$A$83,0)),0),""))))))</f>
      </c>
      <c r="O23" s="9"/>
      <c r="P23" s="23"/>
      <c r="Q23" s="9"/>
      <c r="R23" s="24"/>
      <c r="S23" s="23"/>
      <c r="T23" s="23"/>
      <c r="U23" s="24"/>
      <c r="V23" s="20">
        <f>IF($C23="","",IFERROR(INDEX('Référentiel'!$K$2:$K$83,MATCH($C23,'Référentiel'!$A$2:$A$83,0)),""))</f>
      </c>
      <c r="W23" s="20">
        <f>IF(AND(ISNUMBER($G23),$I23&lt;&gt;"Hors service",$I23&lt;&gt;"Location terminée"),$G23+ROW()/100000,"")</f>
      </c>
      <c r="X23" s="9"/>
    </row>
    <row r="24" spans="1:24" x14ac:dyDescent="0.25">
      <c r="A24" s="9"/>
      <c r="B24" s="9"/>
      <c r="C24" s="9"/>
      <c r="D24" s="9"/>
      <c r="E24" s="19">
        <f>IF($A24="","",IF(SUMPRODUCT(MAX((Vérifications!$B$2:$B$1001=$A24)*Vérifications!$L$2:$L$1001))=0,"",SUMPRODUCT(MAX((Vérifications!$B$2:$B$1001=$A24)*Vérifications!$L$2:$L$1001))))</f>
      </c>
      <c r="F24" s="20">
        <f>IF($E24="","",IFERROR(INDEX(Vérifications!$E$2:$E$1001,MATCH($A24&amp;"|"&amp;$E24,Vérifications!$M$2:$M$1001,0)),""))</f>
      </c>
      <c r="G24" s="19">
        <f>IF($N24="","",IF(ISNUMBER($E24),EDATE($E24,$N24),IF(AND(ISNUMBER($U24),IFERROR(INDEX('Référentiel'!$E$2:$E$83,MATCH($C24,'Référentiel'!$A$2:$A$83,0)),0)&gt;0),EDATE($U24,IFERROR(INDEX('Référentiel'!$E$2:$E$83,MATCH($C24,'Référentiel'!$A$2:$A$83,0)),0)),"")))</f>
      </c>
      <c r="H24" s="21">
        <f>IF(ISNUMBER($G24),$G24-TODAY(),"")</f>
      </c>
      <c r="I24" s="20">
        <f>IF(AND($A24="",$C24=""),"",IF($T24="Non","Hors service",IF(AND($Q24="Location",ISNUMBER($R24),$R24&lt;TODAY()),"Location terminée",IF(OR($F24="Mise à l'arrêt",IF($A24="",0,SUMPRODUCT((Réserves!$B$2:$B$301=$A24)*(Réserves!$E$2:$E$301="Mise à l'arrêt")*(Réserves!$J$2:$J$301&lt;&gt;"Levée")*(Réserves!$J$2:$J$301&lt;&gt;"")))&gt;0),"Arrêt : réserve à lever",IF($C24="","Type à choisir",IF($N24="","Périodicité à saisir",IF(OR(ISTEXT($U24),ISTEXT($R24)),"Date à corriger",IF(AND($E24="",$Q24="Location",$S24&lt;&gt;"Oui"),"Rapport loueur à obtenir",IF(NOT(ISNUMBER($G24)),"Vérif. initiale à tracer",IF($H24&lt;0,"En retard",IF(AND($Q24="Location",$S24&lt;&gt;"Oui"),"Rapport loueur à obtenir",IF($H24&lt;='Tableau de bord'!$C$4,"À planifier","À jour"))))))))))))</f>
      </c>
      <c r="J24" s="22">
        <f>IF($A24="","",COUNTIFS(Réserves!$B$2:$B$301,$A24,Réserves!$J$2:$J$301,"Ouverte")+COUNTIFS(Réserves!$B$2:$B$301,$A24,Réserves!$J$2:$J$301,"En retard"))</f>
      </c>
      <c r="K24" s="20">
        <f>IF($C24="","",IFERROR(INDEX('Référentiel'!$B$2:$B$83,MATCH($C24,'Référentiel'!$A$2:$A$83,0)),"Type hors liste"))</f>
      </c>
      <c r="L24" s="22">
        <f>IF($C24="","",IF(IFERROR(INDEX('Référentiel'!$C$2:$C$83,MATCH($C24,'Référentiel'!$A$2:$A$83,0)),0)=0,"",IFERROR(INDEX('Référentiel'!$C$2:$C$83,MATCH($C24,'Référentiel'!$A$2:$A$83,0)),0)))</f>
      </c>
      <c r="M24" s="23"/>
      <c r="N24" s="22">
        <f>IF($C24="","",IF(IF($M24&lt;&gt;"",IF($L24&lt;&gt;"",MIN($L24,$M24),$M24),IF($L24&lt;&gt;"",$L24,IF(IFERROR(INDEX('Référentiel'!$D$2:$D$83,MATCH($C24,'Référentiel'!$A$2:$A$83,0)),0)&gt;0,IFERROR(INDEX('Référentiel'!$D$2:$D$83,MATCH($C24,'Référentiel'!$A$2:$A$83,0)),0),"")))="","",IF(AND(IFERROR(INDEX('Référentiel'!$F$2:$F$83,MATCH($C24,'Référentiel'!$A$2:$A$83,0)),0)&gt;0,N($J24)&gt;0),MIN(IF($M24&lt;&gt;"",IF($L24&lt;&gt;"",MIN($L24,$M24),$M24),IF($L24&lt;&gt;"",$L24,IF(IFERROR(INDEX('Référentiel'!$D$2:$D$83,MATCH($C24,'Référentiel'!$A$2:$A$83,0)),0)&gt;0,IFERROR(INDEX('Référentiel'!$D$2:$D$83,MATCH($C24,'Référentiel'!$A$2:$A$83,0)),0),""))),IFERROR(INDEX('Référentiel'!$F$2:$F$83,MATCH($C24,'Référentiel'!$A$2:$A$83,0)),0)),IF($M24&lt;&gt;"",IF($L24&lt;&gt;"",MIN($L24,$M24),$M24),IF($L24&lt;&gt;"",$L24,IF(IFERROR(INDEX('Référentiel'!$D$2:$D$83,MATCH($C24,'Référentiel'!$A$2:$A$83,0)),0)&gt;0,IFERROR(INDEX('Référentiel'!$D$2:$D$83,MATCH($C24,'Référentiel'!$A$2:$A$83,0)),0),""))))))</f>
      </c>
      <c r="O24" s="9"/>
      <c r="P24" s="23"/>
      <c r="Q24" s="9"/>
      <c r="R24" s="24"/>
      <c r="S24" s="23"/>
      <c r="T24" s="23"/>
      <c r="U24" s="24"/>
      <c r="V24" s="20">
        <f>IF($C24="","",IFERROR(INDEX('Référentiel'!$K$2:$K$83,MATCH($C24,'Référentiel'!$A$2:$A$83,0)),""))</f>
      </c>
      <c r="W24" s="20">
        <f>IF(AND(ISNUMBER($G24),$I24&lt;&gt;"Hors service",$I24&lt;&gt;"Location terminée"),$G24+ROW()/100000,"")</f>
      </c>
      <c r="X24" s="9"/>
    </row>
    <row r="25" spans="1:24" x14ac:dyDescent="0.25">
      <c r="A25" s="9"/>
      <c r="B25" s="9"/>
      <c r="C25" s="9"/>
      <c r="D25" s="9"/>
      <c r="E25" s="19">
        <f>IF($A25="","",IF(SUMPRODUCT(MAX((Vérifications!$B$2:$B$1001=$A25)*Vérifications!$L$2:$L$1001))=0,"",SUMPRODUCT(MAX((Vérifications!$B$2:$B$1001=$A25)*Vérifications!$L$2:$L$1001))))</f>
      </c>
      <c r="F25" s="20">
        <f>IF($E25="","",IFERROR(INDEX(Vérifications!$E$2:$E$1001,MATCH($A25&amp;"|"&amp;$E25,Vérifications!$M$2:$M$1001,0)),""))</f>
      </c>
      <c r="G25" s="19">
        <f>IF($N25="","",IF(ISNUMBER($E25),EDATE($E25,$N25),IF(AND(ISNUMBER($U25),IFERROR(INDEX('Référentiel'!$E$2:$E$83,MATCH($C25,'Référentiel'!$A$2:$A$83,0)),0)&gt;0),EDATE($U25,IFERROR(INDEX('Référentiel'!$E$2:$E$83,MATCH($C25,'Référentiel'!$A$2:$A$83,0)),0)),"")))</f>
      </c>
      <c r="H25" s="21">
        <f>IF(ISNUMBER($G25),$G25-TODAY(),"")</f>
      </c>
      <c r="I25" s="20">
        <f>IF(AND($A25="",$C25=""),"",IF($T25="Non","Hors service",IF(AND($Q25="Location",ISNUMBER($R25),$R25&lt;TODAY()),"Location terminée",IF(OR($F25="Mise à l'arrêt",IF($A25="",0,SUMPRODUCT((Réserves!$B$2:$B$301=$A25)*(Réserves!$E$2:$E$301="Mise à l'arrêt")*(Réserves!$J$2:$J$301&lt;&gt;"Levée")*(Réserves!$J$2:$J$301&lt;&gt;"")))&gt;0),"Arrêt : réserve à lever",IF($C25="","Type à choisir",IF($N25="","Périodicité à saisir",IF(OR(ISTEXT($U25),ISTEXT($R25)),"Date à corriger",IF(AND($E25="",$Q25="Location",$S25&lt;&gt;"Oui"),"Rapport loueur à obtenir",IF(NOT(ISNUMBER($G25)),"Vérif. initiale à tracer",IF($H25&lt;0,"En retard",IF(AND($Q25="Location",$S25&lt;&gt;"Oui"),"Rapport loueur à obtenir",IF($H25&lt;='Tableau de bord'!$C$4,"À planifier","À jour"))))))))))))</f>
      </c>
      <c r="J25" s="22">
        <f>IF($A25="","",COUNTIFS(Réserves!$B$2:$B$301,$A25,Réserves!$J$2:$J$301,"Ouverte")+COUNTIFS(Réserves!$B$2:$B$301,$A25,Réserves!$J$2:$J$301,"En retard"))</f>
      </c>
      <c r="K25" s="20">
        <f>IF($C25="","",IFERROR(INDEX('Référentiel'!$B$2:$B$83,MATCH($C25,'Référentiel'!$A$2:$A$83,0)),"Type hors liste"))</f>
      </c>
      <c r="L25" s="22">
        <f>IF($C25="","",IF(IFERROR(INDEX('Référentiel'!$C$2:$C$83,MATCH($C25,'Référentiel'!$A$2:$A$83,0)),0)=0,"",IFERROR(INDEX('Référentiel'!$C$2:$C$83,MATCH($C25,'Référentiel'!$A$2:$A$83,0)),0)))</f>
      </c>
      <c r="M25" s="23"/>
      <c r="N25" s="22">
        <f>IF($C25="","",IF(IF($M25&lt;&gt;"",IF($L25&lt;&gt;"",MIN($L25,$M25),$M25),IF($L25&lt;&gt;"",$L25,IF(IFERROR(INDEX('Référentiel'!$D$2:$D$83,MATCH($C25,'Référentiel'!$A$2:$A$83,0)),0)&gt;0,IFERROR(INDEX('Référentiel'!$D$2:$D$83,MATCH($C25,'Référentiel'!$A$2:$A$83,0)),0),"")))="","",IF(AND(IFERROR(INDEX('Référentiel'!$F$2:$F$83,MATCH($C25,'Référentiel'!$A$2:$A$83,0)),0)&gt;0,N($J25)&gt;0),MIN(IF($M25&lt;&gt;"",IF($L25&lt;&gt;"",MIN($L25,$M25),$M25),IF($L25&lt;&gt;"",$L25,IF(IFERROR(INDEX('Référentiel'!$D$2:$D$83,MATCH($C25,'Référentiel'!$A$2:$A$83,0)),0)&gt;0,IFERROR(INDEX('Référentiel'!$D$2:$D$83,MATCH($C25,'Référentiel'!$A$2:$A$83,0)),0),""))),IFERROR(INDEX('Référentiel'!$F$2:$F$83,MATCH($C25,'Référentiel'!$A$2:$A$83,0)),0)),IF($M25&lt;&gt;"",IF($L25&lt;&gt;"",MIN($L25,$M25),$M25),IF($L25&lt;&gt;"",$L25,IF(IFERROR(INDEX('Référentiel'!$D$2:$D$83,MATCH($C25,'Référentiel'!$A$2:$A$83,0)),0)&gt;0,IFERROR(INDEX('Référentiel'!$D$2:$D$83,MATCH($C25,'Référentiel'!$A$2:$A$83,0)),0),""))))))</f>
      </c>
      <c r="O25" s="9"/>
      <c r="P25" s="23"/>
      <c r="Q25" s="9"/>
      <c r="R25" s="24"/>
      <c r="S25" s="23"/>
      <c r="T25" s="23"/>
      <c r="U25" s="24"/>
      <c r="V25" s="20">
        <f>IF($C25="","",IFERROR(INDEX('Référentiel'!$K$2:$K$83,MATCH($C25,'Référentiel'!$A$2:$A$83,0)),""))</f>
      </c>
      <c r="W25" s="20">
        <f>IF(AND(ISNUMBER($G25),$I25&lt;&gt;"Hors service",$I25&lt;&gt;"Location terminée"),$G25+ROW()/100000,"")</f>
      </c>
      <c r="X25" s="9"/>
    </row>
    <row r="26" spans="1:24" x14ac:dyDescent="0.25">
      <c r="A26" s="9"/>
      <c r="B26" s="9"/>
      <c r="C26" s="9"/>
      <c r="D26" s="9"/>
      <c r="E26" s="19">
        <f>IF($A26="","",IF(SUMPRODUCT(MAX((Vérifications!$B$2:$B$1001=$A26)*Vérifications!$L$2:$L$1001))=0,"",SUMPRODUCT(MAX((Vérifications!$B$2:$B$1001=$A26)*Vérifications!$L$2:$L$1001))))</f>
      </c>
      <c r="F26" s="20">
        <f>IF($E26="","",IFERROR(INDEX(Vérifications!$E$2:$E$1001,MATCH($A26&amp;"|"&amp;$E26,Vérifications!$M$2:$M$1001,0)),""))</f>
      </c>
      <c r="G26" s="19">
        <f>IF($N26="","",IF(ISNUMBER($E26),EDATE($E26,$N26),IF(AND(ISNUMBER($U26),IFERROR(INDEX('Référentiel'!$E$2:$E$83,MATCH($C26,'Référentiel'!$A$2:$A$83,0)),0)&gt;0),EDATE($U26,IFERROR(INDEX('Référentiel'!$E$2:$E$83,MATCH($C26,'Référentiel'!$A$2:$A$83,0)),0)),"")))</f>
      </c>
      <c r="H26" s="21">
        <f>IF(ISNUMBER($G26),$G26-TODAY(),"")</f>
      </c>
      <c r="I26" s="20">
        <f>IF(AND($A26="",$C26=""),"",IF($T26="Non","Hors service",IF(AND($Q26="Location",ISNUMBER($R26),$R26&lt;TODAY()),"Location terminée",IF(OR($F26="Mise à l'arrêt",IF($A26="",0,SUMPRODUCT((Réserves!$B$2:$B$301=$A26)*(Réserves!$E$2:$E$301="Mise à l'arrêt")*(Réserves!$J$2:$J$301&lt;&gt;"Levée")*(Réserves!$J$2:$J$301&lt;&gt;"")))&gt;0),"Arrêt : réserve à lever",IF($C26="","Type à choisir",IF($N26="","Périodicité à saisir",IF(OR(ISTEXT($U26),ISTEXT($R26)),"Date à corriger",IF(AND($E26="",$Q26="Location",$S26&lt;&gt;"Oui"),"Rapport loueur à obtenir",IF(NOT(ISNUMBER($G26)),"Vérif. initiale à tracer",IF($H26&lt;0,"En retard",IF(AND($Q26="Location",$S26&lt;&gt;"Oui"),"Rapport loueur à obtenir",IF($H26&lt;='Tableau de bord'!$C$4,"À planifier","À jour"))))))))))))</f>
      </c>
      <c r="J26" s="22">
        <f>IF($A26="","",COUNTIFS(Réserves!$B$2:$B$301,$A26,Réserves!$J$2:$J$301,"Ouverte")+COUNTIFS(Réserves!$B$2:$B$301,$A26,Réserves!$J$2:$J$301,"En retard"))</f>
      </c>
      <c r="K26" s="20">
        <f>IF($C26="","",IFERROR(INDEX('Référentiel'!$B$2:$B$83,MATCH($C26,'Référentiel'!$A$2:$A$83,0)),"Type hors liste"))</f>
      </c>
      <c r="L26" s="22">
        <f>IF($C26="","",IF(IFERROR(INDEX('Référentiel'!$C$2:$C$83,MATCH($C26,'Référentiel'!$A$2:$A$83,0)),0)=0,"",IFERROR(INDEX('Référentiel'!$C$2:$C$83,MATCH($C26,'Référentiel'!$A$2:$A$83,0)),0)))</f>
      </c>
      <c r="M26" s="23"/>
      <c r="N26" s="22">
        <f>IF($C26="","",IF(IF($M26&lt;&gt;"",IF($L26&lt;&gt;"",MIN($L26,$M26),$M26),IF($L26&lt;&gt;"",$L26,IF(IFERROR(INDEX('Référentiel'!$D$2:$D$83,MATCH($C26,'Référentiel'!$A$2:$A$83,0)),0)&gt;0,IFERROR(INDEX('Référentiel'!$D$2:$D$83,MATCH($C26,'Référentiel'!$A$2:$A$83,0)),0),"")))="","",IF(AND(IFERROR(INDEX('Référentiel'!$F$2:$F$83,MATCH($C26,'Référentiel'!$A$2:$A$83,0)),0)&gt;0,N($J26)&gt;0),MIN(IF($M26&lt;&gt;"",IF($L26&lt;&gt;"",MIN($L26,$M26),$M26),IF($L26&lt;&gt;"",$L26,IF(IFERROR(INDEX('Référentiel'!$D$2:$D$83,MATCH($C26,'Référentiel'!$A$2:$A$83,0)),0)&gt;0,IFERROR(INDEX('Référentiel'!$D$2:$D$83,MATCH($C26,'Référentiel'!$A$2:$A$83,0)),0),""))),IFERROR(INDEX('Référentiel'!$F$2:$F$83,MATCH($C26,'Référentiel'!$A$2:$A$83,0)),0)),IF($M26&lt;&gt;"",IF($L26&lt;&gt;"",MIN($L26,$M26),$M26),IF($L26&lt;&gt;"",$L26,IF(IFERROR(INDEX('Référentiel'!$D$2:$D$83,MATCH($C26,'Référentiel'!$A$2:$A$83,0)),0)&gt;0,IFERROR(INDEX('Référentiel'!$D$2:$D$83,MATCH($C26,'Référentiel'!$A$2:$A$83,0)),0),""))))))</f>
      </c>
      <c r="O26" s="9"/>
      <c r="P26" s="23"/>
      <c r="Q26" s="9"/>
      <c r="R26" s="24"/>
      <c r="S26" s="23"/>
      <c r="T26" s="23"/>
      <c r="U26" s="24"/>
      <c r="V26" s="20">
        <f>IF($C26="","",IFERROR(INDEX('Référentiel'!$K$2:$K$83,MATCH($C26,'Référentiel'!$A$2:$A$83,0)),""))</f>
      </c>
      <c r="W26" s="20">
        <f>IF(AND(ISNUMBER($G26),$I26&lt;&gt;"Hors service",$I26&lt;&gt;"Location terminée"),$G26+ROW()/100000,"")</f>
      </c>
      <c r="X26" s="9"/>
    </row>
    <row r="27" spans="1:24" x14ac:dyDescent="0.25">
      <c r="A27" s="9"/>
      <c r="B27" s="9"/>
      <c r="C27" s="9"/>
      <c r="D27" s="9"/>
      <c r="E27" s="19">
        <f>IF($A27="","",IF(SUMPRODUCT(MAX((Vérifications!$B$2:$B$1001=$A27)*Vérifications!$L$2:$L$1001))=0,"",SUMPRODUCT(MAX((Vérifications!$B$2:$B$1001=$A27)*Vérifications!$L$2:$L$1001))))</f>
      </c>
      <c r="F27" s="20">
        <f>IF($E27="","",IFERROR(INDEX(Vérifications!$E$2:$E$1001,MATCH($A27&amp;"|"&amp;$E27,Vérifications!$M$2:$M$1001,0)),""))</f>
      </c>
      <c r="G27" s="19">
        <f>IF($N27="","",IF(ISNUMBER($E27),EDATE($E27,$N27),IF(AND(ISNUMBER($U27),IFERROR(INDEX('Référentiel'!$E$2:$E$83,MATCH($C27,'Référentiel'!$A$2:$A$83,0)),0)&gt;0),EDATE($U27,IFERROR(INDEX('Référentiel'!$E$2:$E$83,MATCH($C27,'Référentiel'!$A$2:$A$83,0)),0)),"")))</f>
      </c>
      <c r="H27" s="21">
        <f>IF(ISNUMBER($G27),$G27-TODAY(),"")</f>
      </c>
      <c r="I27" s="20">
        <f>IF(AND($A27="",$C27=""),"",IF($T27="Non","Hors service",IF(AND($Q27="Location",ISNUMBER($R27),$R27&lt;TODAY()),"Location terminée",IF(OR($F27="Mise à l'arrêt",IF($A27="",0,SUMPRODUCT((Réserves!$B$2:$B$301=$A27)*(Réserves!$E$2:$E$301="Mise à l'arrêt")*(Réserves!$J$2:$J$301&lt;&gt;"Levée")*(Réserves!$J$2:$J$301&lt;&gt;"")))&gt;0),"Arrêt : réserve à lever",IF($C27="","Type à choisir",IF($N27="","Périodicité à saisir",IF(OR(ISTEXT($U27),ISTEXT($R27)),"Date à corriger",IF(AND($E27="",$Q27="Location",$S27&lt;&gt;"Oui"),"Rapport loueur à obtenir",IF(NOT(ISNUMBER($G27)),"Vérif. initiale à tracer",IF($H27&lt;0,"En retard",IF(AND($Q27="Location",$S27&lt;&gt;"Oui"),"Rapport loueur à obtenir",IF($H27&lt;='Tableau de bord'!$C$4,"À planifier","À jour"))))))))))))</f>
      </c>
      <c r="J27" s="22">
        <f>IF($A27="","",COUNTIFS(Réserves!$B$2:$B$301,$A27,Réserves!$J$2:$J$301,"Ouverte")+COUNTIFS(Réserves!$B$2:$B$301,$A27,Réserves!$J$2:$J$301,"En retard"))</f>
      </c>
      <c r="K27" s="20">
        <f>IF($C27="","",IFERROR(INDEX('Référentiel'!$B$2:$B$83,MATCH($C27,'Référentiel'!$A$2:$A$83,0)),"Type hors liste"))</f>
      </c>
      <c r="L27" s="22">
        <f>IF($C27="","",IF(IFERROR(INDEX('Référentiel'!$C$2:$C$83,MATCH($C27,'Référentiel'!$A$2:$A$83,0)),0)=0,"",IFERROR(INDEX('Référentiel'!$C$2:$C$83,MATCH($C27,'Référentiel'!$A$2:$A$83,0)),0)))</f>
      </c>
      <c r="M27" s="23"/>
      <c r="N27" s="22">
        <f>IF($C27="","",IF(IF($M27&lt;&gt;"",IF($L27&lt;&gt;"",MIN($L27,$M27),$M27),IF($L27&lt;&gt;"",$L27,IF(IFERROR(INDEX('Référentiel'!$D$2:$D$83,MATCH($C27,'Référentiel'!$A$2:$A$83,0)),0)&gt;0,IFERROR(INDEX('Référentiel'!$D$2:$D$83,MATCH($C27,'Référentiel'!$A$2:$A$83,0)),0),"")))="","",IF(AND(IFERROR(INDEX('Référentiel'!$F$2:$F$83,MATCH($C27,'Référentiel'!$A$2:$A$83,0)),0)&gt;0,N($J27)&gt;0),MIN(IF($M27&lt;&gt;"",IF($L27&lt;&gt;"",MIN($L27,$M27),$M27),IF($L27&lt;&gt;"",$L27,IF(IFERROR(INDEX('Référentiel'!$D$2:$D$83,MATCH($C27,'Référentiel'!$A$2:$A$83,0)),0)&gt;0,IFERROR(INDEX('Référentiel'!$D$2:$D$83,MATCH($C27,'Référentiel'!$A$2:$A$83,0)),0),""))),IFERROR(INDEX('Référentiel'!$F$2:$F$83,MATCH($C27,'Référentiel'!$A$2:$A$83,0)),0)),IF($M27&lt;&gt;"",IF($L27&lt;&gt;"",MIN($L27,$M27),$M27),IF($L27&lt;&gt;"",$L27,IF(IFERROR(INDEX('Référentiel'!$D$2:$D$83,MATCH($C27,'Référentiel'!$A$2:$A$83,0)),0)&gt;0,IFERROR(INDEX('Référentiel'!$D$2:$D$83,MATCH($C27,'Référentiel'!$A$2:$A$83,0)),0),""))))))</f>
      </c>
      <c r="O27" s="9"/>
      <c r="P27" s="23"/>
      <c r="Q27" s="9"/>
      <c r="R27" s="24"/>
      <c r="S27" s="23"/>
      <c r="T27" s="23"/>
      <c r="U27" s="24"/>
      <c r="V27" s="20">
        <f>IF($C27="","",IFERROR(INDEX('Référentiel'!$K$2:$K$83,MATCH($C27,'Référentiel'!$A$2:$A$83,0)),""))</f>
      </c>
      <c r="W27" s="20">
        <f>IF(AND(ISNUMBER($G27),$I27&lt;&gt;"Hors service",$I27&lt;&gt;"Location terminée"),$G27+ROW()/100000,"")</f>
      </c>
      <c r="X27" s="9"/>
    </row>
    <row r="28" spans="1:24" x14ac:dyDescent="0.25">
      <c r="A28" s="9"/>
      <c r="B28" s="9"/>
      <c r="C28" s="9"/>
      <c r="D28" s="9"/>
      <c r="E28" s="19">
        <f>IF($A28="","",IF(SUMPRODUCT(MAX((Vérifications!$B$2:$B$1001=$A28)*Vérifications!$L$2:$L$1001))=0,"",SUMPRODUCT(MAX((Vérifications!$B$2:$B$1001=$A28)*Vérifications!$L$2:$L$1001))))</f>
      </c>
      <c r="F28" s="20">
        <f>IF($E28="","",IFERROR(INDEX(Vérifications!$E$2:$E$1001,MATCH($A28&amp;"|"&amp;$E28,Vérifications!$M$2:$M$1001,0)),""))</f>
      </c>
      <c r="G28" s="19">
        <f>IF($N28="","",IF(ISNUMBER($E28),EDATE($E28,$N28),IF(AND(ISNUMBER($U28),IFERROR(INDEX('Référentiel'!$E$2:$E$83,MATCH($C28,'Référentiel'!$A$2:$A$83,0)),0)&gt;0),EDATE($U28,IFERROR(INDEX('Référentiel'!$E$2:$E$83,MATCH($C28,'Référentiel'!$A$2:$A$83,0)),0)),"")))</f>
      </c>
      <c r="H28" s="21">
        <f>IF(ISNUMBER($G28),$G28-TODAY(),"")</f>
      </c>
      <c r="I28" s="20">
        <f>IF(AND($A28="",$C28=""),"",IF($T28="Non","Hors service",IF(AND($Q28="Location",ISNUMBER($R28),$R28&lt;TODAY()),"Location terminée",IF(OR($F28="Mise à l'arrêt",IF($A28="",0,SUMPRODUCT((Réserves!$B$2:$B$301=$A28)*(Réserves!$E$2:$E$301="Mise à l'arrêt")*(Réserves!$J$2:$J$301&lt;&gt;"Levée")*(Réserves!$J$2:$J$301&lt;&gt;"")))&gt;0),"Arrêt : réserve à lever",IF($C28="","Type à choisir",IF($N28="","Périodicité à saisir",IF(OR(ISTEXT($U28),ISTEXT($R28)),"Date à corriger",IF(AND($E28="",$Q28="Location",$S28&lt;&gt;"Oui"),"Rapport loueur à obtenir",IF(NOT(ISNUMBER($G28)),"Vérif. initiale à tracer",IF($H28&lt;0,"En retard",IF(AND($Q28="Location",$S28&lt;&gt;"Oui"),"Rapport loueur à obtenir",IF($H28&lt;='Tableau de bord'!$C$4,"À planifier","À jour"))))))))))))</f>
      </c>
      <c r="J28" s="22">
        <f>IF($A28="","",COUNTIFS(Réserves!$B$2:$B$301,$A28,Réserves!$J$2:$J$301,"Ouverte")+COUNTIFS(Réserves!$B$2:$B$301,$A28,Réserves!$J$2:$J$301,"En retard"))</f>
      </c>
      <c r="K28" s="20">
        <f>IF($C28="","",IFERROR(INDEX('Référentiel'!$B$2:$B$83,MATCH($C28,'Référentiel'!$A$2:$A$83,0)),"Type hors liste"))</f>
      </c>
      <c r="L28" s="22">
        <f>IF($C28="","",IF(IFERROR(INDEX('Référentiel'!$C$2:$C$83,MATCH($C28,'Référentiel'!$A$2:$A$83,0)),0)=0,"",IFERROR(INDEX('Référentiel'!$C$2:$C$83,MATCH($C28,'Référentiel'!$A$2:$A$83,0)),0)))</f>
      </c>
      <c r="M28" s="23"/>
      <c r="N28" s="22">
        <f>IF($C28="","",IF(IF($M28&lt;&gt;"",IF($L28&lt;&gt;"",MIN($L28,$M28),$M28),IF($L28&lt;&gt;"",$L28,IF(IFERROR(INDEX('Référentiel'!$D$2:$D$83,MATCH($C28,'Référentiel'!$A$2:$A$83,0)),0)&gt;0,IFERROR(INDEX('Référentiel'!$D$2:$D$83,MATCH($C28,'Référentiel'!$A$2:$A$83,0)),0),"")))="","",IF(AND(IFERROR(INDEX('Référentiel'!$F$2:$F$83,MATCH($C28,'Référentiel'!$A$2:$A$83,0)),0)&gt;0,N($J28)&gt;0),MIN(IF($M28&lt;&gt;"",IF($L28&lt;&gt;"",MIN($L28,$M28),$M28),IF($L28&lt;&gt;"",$L28,IF(IFERROR(INDEX('Référentiel'!$D$2:$D$83,MATCH($C28,'Référentiel'!$A$2:$A$83,0)),0)&gt;0,IFERROR(INDEX('Référentiel'!$D$2:$D$83,MATCH($C28,'Référentiel'!$A$2:$A$83,0)),0),""))),IFERROR(INDEX('Référentiel'!$F$2:$F$83,MATCH($C28,'Référentiel'!$A$2:$A$83,0)),0)),IF($M28&lt;&gt;"",IF($L28&lt;&gt;"",MIN($L28,$M28),$M28),IF($L28&lt;&gt;"",$L28,IF(IFERROR(INDEX('Référentiel'!$D$2:$D$83,MATCH($C28,'Référentiel'!$A$2:$A$83,0)),0)&gt;0,IFERROR(INDEX('Référentiel'!$D$2:$D$83,MATCH($C28,'Référentiel'!$A$2:$A$83,0)),0),""))))))</f>
      </c>
      <c r="O28" s="9"/>
      <c r="P28" s="23"/>
      <c r="Q28" s="9"/>
      <c r="R28" s="24"/>
      <c r="S28" s="23"/>
      <c r="T28" s="23"/>
      <c r="U28" s="24"/>
      <c r="V28" s="20">
        <f>IF($C28="","",IFERROR(INDEX('Référentiel'!$K$2:$K$83,MATCH($C28,'Référentiel'!$A$2:$A$83,0)),""))</f>
      </c>
      <c r="W28" s="20">
        <f>IF(AND(ISNUMBER($G28),$I28&lt;&gt;"Hors service",$I28&lt;&gt;"Location terminée"),$G28+ROW()/100000,"")</f>
      </c>
      <c r="X28" s="9"/>
    </row>
    <row r="29" spans="1:24" x14ac:dyDescent="0.25">
      <c r="A29" s="9"/>
      <c r="B29" s="9"/>
      <c r="C29" s="9"/>
      <c r="D29" s="9"/>
      <c r="E29" s="19">
        <f>IF($A29="","",IF(SUMPRODUCT(MAX((Vérifications!$B$2:$B$1001=$A29)*Vérifications!$L$2:$L$1001))=0,"",SUMPRODUCT(MAX((Vérifications!$B$2:$B$1001=$A29)*Vérifications!$L$2:$L$1001))))</f>
      </c>
      <c r="F29" s="20">
        <f>IF($E29="","",IFERROR(INDEX(Vérifications!$E$2:$E$1001,MATCH($A29&amp;"|"&amp;$E29,Vérifications!$M$2:$M$1001,0)),""))</f>
      </c>
      <c r="G29" s="19">
        <f>IF($N29="","",IF(ISNUMBER($E29),EDATE($E29,$N29),IF(AND(ISNUMBER($U29),IFERROR(INDEX('Référentiel'!$E$2:$E$83,MATCH($C29,'Référentiel'!$A$2:$A$83,0)),0)&gt;0),EDATE($U29,IFERROR(INDEX('Référentiel'!$E$2:$E$83,MATCH($C29,'Référentiel'!$A$2:$A$83,0)),0)),"")))</f>
      </c>
      <c r="H29" s="21">
        <f>IF(ISNUMBER($G29),$G29-TODAY(),"")</f>
      </c>
      <c r="I29" s="20">
        <f>IF(AND($A29="",$C29=""),"",IF($T29="Non","Hors service",IF(AND($Q29="Location",ISNUMBER($R29),$R29&lt;TODAY()),"Location terminée",IF(OR($F29="Mise à l'arrêt",IF($A29="",0,SUMPRODUCT((Réserves!$B$2:$B$301=$A29)*(Réserves!$E$2:$E$301="Mise à l'arrêt")*(Réserves!$J$2:$J$301&lt;&gt;"Levée")*(Réserves!$J$2:$J$301&lt;&gt;"")))&gt;0),"Arrêt : réserve à lever",IF($C29="","Type à choisir",IF($N29="","Périodicité à saisir",IF(OR(ISTEXT($U29),ISTEXT($R29)),"Date à corriger",IF(AND($E29="",$Q29="Location",$S29&lt;&gt;"Oui"),"Rapport loueur à obtenir",IF(NOT(ISNUMBER($G29)),"Vérif. initiale à tracer",IF($H29&lt;0,"En retard",IF(AND($Q29="Location",$S29&lt;&gt;"Oui"),"Rapport loueur à obtenir",IF($H29&lt;='Tableau de bord'!$C$4,"À planifier","À jour"))))))))))))</f>
      </c>
      <c r="J29" s="22">
        <f>IF($A29="","",COUNTIFS(Réserves!$B$2:$B$301,$A29,Réserves!$J$2:$J$301,"Ouverte")+COUNTIFS(Réserves!$B$2:$B$301,$A29,Réserves!$J$2:$J$301,"En retard"))</f>
      </c>
      <c r="K29" s="20">
        <f>IF($C29="","",IFERROR(INDEX('Référentiel'!$B$2:$B$83,MATCH($C29,'Référentiel'!$A$2:$A$83,0)),"Type hors liste"))</f>
      </c>
      <c r="L29" s="22">
        <f>IF($C29="","",IF(IFERROR(INDEX('Référentiel'!$C$2:$C$83,MATCH($C29,'Référentiel'!$A$2:$A$83,0)),0)=0,"",IFERROR(INDEX('Référentiel'!$C$2:$C$83,MATCH($C29,'Référentiel'!$A$2:$A$83,0)),0)))</f>
      </c>
      <c r="M29" s="23"/>
      <c r="N29" s="22">
        <f>IF($C29="","",IF(IF($M29&lt;&gt;"",IF($L29&lt;&gt;"",MIN($L29,$M29),$M29),IF($L29&lt;&gt;"",$L29,IF(IFERROR(INDEX('Référentiel'!$D$2:$D$83,MATCH($C29,'Référentiel'!$A$2:$A$83,0)),0)&gt;0,IFERROR(INDEX('Référentiel'!$D$2:$D$83,MATCH($C29,'Référentiel'!$A$2:$A$83,0)),0),"")))="","",IF(AND(IFERROR(INDEX('Référentiel'!$F$2:$F$83,MATCH($C29,'Référentiel'!$A$2:$A$83,0)),0)&gt;0,N($J29)&gt;0),MIN(IF($M29&lt;&gt;"",IF($L29&lt;&gt;"",MIN($L29,$M29),$M29),IF($L29&lt;&gt;"",$L29,IF(IFERROR(INDEX('Référentiel'!$D$2:$D$83,MATCH($C29,'Référentiel'!$A$2:$A$83,0)),0)&gt;0,IFERROR(INDEX('Référentiel'!$D$2:$D$83,MATCH($C29,'Référentiel'!$A$2:$A$83,0)),0),""))),IFERROR(INDEX('Référentiel'!$F$2:$F$83,MATCH($C29,'Référentiel'!$A$2:$A$83,0)),0)),IF($M29&lt;&gt;"",IF($L29&lt;&gt;"",MIN($L29,$M29),$M29),IF($L29&lt;&gt;"",$L29,IF(IFERROR(INDEX('Référentiel'!$D$2:$D$83,MATCH($C29,'Référentiel'!$A$2:$A$83,0)),0)&gt;0,IFERROR(INDEX('Référentiel'!$D$2:$D$83,MATCH($C29,'Référentiel'!$A$2:$A$83,0)),0),""))))))</f>
      </c>
      <c r="O29" s="9"/>
      <c r="P29" s="23"/>
      <c r="Q29" s="9"/>
      <c r="R29" s="24"/>
      <c r="S29" s="23"/>
      <c r="T29" s="23"/>
      <c r="U29" s="24"/>
      <c r="V29" s="20">
        <f>IF($C29="","",IFERROR(INDEX('Référentiel'!$K$2:$K$83,MATCH($C29,'Référentiel'!$A$2:$A$83,0)),""))</f>
      </c>
      <c r="W29" s="20">
        <f>IF(AND(ISNUMBER($G29),$I29&lt;&gt;"Hors service",$I29&lt;&gt;"Location terminée"),$G29+ROW()/100000,"")</f>
      </c>
      <c r="X29" s="9"/>
    </row>
    <row r="30" spans="1:24" x14ac:dyDescent="0.25">
      <c r="A30" s="9"/>
      <c r="B30" s="9"/>
      <c r="C30" s="9"/>
      <c r="D30" s="9"/>
      <c r="E30" s="19">
        <f>IF($A30="","",IF(SUMPRODUCT(MAX((Vérifications!$B$2:$B$1001=$A30)*Vérifications!$L$2:$L$1001))=0,"",SUMPRODUCT(MAX((Vérifications!$B$2:$B$1001=$A30)*Vérifications!$L$2:$L$1001))))</f>
      </c>
      <c r="F30" s="20">
        <f>IF($E30="","",IFERROR(INDEX(Vérifications!$E$2:$E$1001,MATCH($A30&amp;"|"&amp;$E30,Vérifications!$M$2:$M$1001,0)),""))</f>
      </c>
      <c r="G30" s="19">
        <f>IF($N30="","",IF(ISNUMBER($E30),EDATE($E30,$N30),IF(AND(ISNUMBER($U30),IFERROR(INDEX('Référentiel'!$E$2:$E$83,MATCH($C30,'Référentiel'!$A$2:$A$83,0)),0)&gt;0),EDATE($U30,IFERROR(INDEX('Référentiel'!$E$2:$E$83,MATCH($C30,'Référentiel'!$A$2:$A$83,0)),0)),"")))</f>
      </c>
      <c r="H30" s="21">
        <f>IF(ISNUMBER($G30),$G30-TODAY(),"")</f>
      </c>
      <c r="I30" s="20">
        <f>IF(AND($A30="",$C30=""),"",IF($T30="Non","Hors service",IF(AND($Q30="Location",ISNUMBER($R30),$R30&lt;TODAY()),"Location terminée",IF(OR($F30="Mise à l'arrêt",IF($A30="",0,SUMPRODUCT((Réserves!$B$2:$B$301=$A30)*(Réserves!$E$2:$E$301="Mise à l'arrêt")*(Réserves!$J$2:$J$301&lt;&gt;"Levée")*(Réserves!$J$2:$J$301&lt;&gt;"")))&gt;0),"Arrêt : réserve à lever",IF($C30="","Type à choisir",IF($N30="","Périodicité à saisir",IF(OR(ISTEXT($U30),ISTEXT($R30)),"Date à corriger",IF(AND($E30="",$Q30="Location",$S30&lt;&gt;"Oui"),"Rapport loueur à obtenir",IF(NOT(ISNUMBER($G30)),"Vérif. initiale à tracer",IF($H30&lt;0,"En retard",IF(AND($Q30="Location",$S30&lt;&gt;"Oui"),"Rapport loueur à obtenir",IF($H30&lt;='Tableau de bord'!$C$4,"À planifier","À jour"))))))))))))</f>
      </c>
      <c r="J30" s="22">
        <f>IF($A30="","",COUNTIFS(Réserves!$B$2:$B$301,$A30,Réserves!$J$2:$J$301,"Ouverte")+COUNTIFS(Réserves!$B$2:$B$301,$A30,Réserves!$J$2:$J$301,"En retard"))</f>
      </c>
      <c r="K30" s="20">
        <f>IF($C30="","",IFERROR(INDEX('Référentiel'!$B$2:$B$83,MATCH($C30,'Référentiel'!$A$2:$A$83,0)),"Type hors liste"))</f>
      </c>
      <c r="L30" s="22">
        <f>IF($C30="","",IF(IFERROR(INDEX('Référentiel'!$C$2:$C$83,MATCH($C30,'Référentiel'!$A$2:$A$83,0)),0)=0,"",IFERROR(INDEX('Référentiel'!$C$2:$C$83,MATCH($C30,'Référentiel'!$A$2:$A$83,0)),0)))</f>
      </c>
      <c r="M30" s="23"/>
      <c r="N30" s="22">
        <f>IF($C30="","",IF(IF($M30&lt;&gt;"",IF($L30&lt;&gt;"",MIN($L30,$M30),$M30),IF($L30&lt;&gt;"",$L30,IF(IFERROR(INDEX('Référentiel'!$D$2:$D$83,MATCH($C30,'Référentiel'!$A$2:$A$83,0)),0)&gt;0,IFERROR(INDEX('Référentiel'!$D$2:$D$83,MATCH($C30,'Référentiel'!$A$2:$A$83,0)),0),"")))="","",IF(AND(IFERROR(INDEX('Référentiel'!$F$2:$F$83,MATCH($C30,'Référentiel'!$A$2:$A$83,0)),0)&gt;0,N($J30)&gt;0),MIN(IF($M30&lt;&gt;"",IF($L30&lt;&gt;"",MIN($L30,$M30),$M30),IF($L30&lt;&gt;"",$L30,IF(IFERROR(INDEX('Référentiel'!$D$2:$D$83,MATCH($C30,'Référentiel'!$A$2:$A$83,0)),0)&gt;0,IFERROR(INDEX('Référentiel'!$D$2:$D$83,MATCH($C30,'Référentiel'!$A$2:$A$83,0)),0),""))),IFERROR(INDEX('Référentiel'!$F$2:$F$83,MATCH($C30,'Référentiel'!$A$2:$A$83,0)),0)),IF($M30&lt;&gt;"",IF($L30&lt;&gt;"",MIN($L30,$M30),$M30),IF($L30&lt;&gt;"",$L30,IF(IFERROR(INDEX('Référentiel'!$D$2:$D$83,MATCH($C30,'Référentiel'!$A$2:$A$83,0)),0)&gt;0,IFERROR(INDEX('Référentiel'!$D$2:$D$83,MATCH($C30,'Référentiel'!$A$2:$A$83,0)),0),""))))))</f>
      </c>
      <c r="O30" s="9"/>
      <c r="P30" s="23"/>
      <c r="Q30" s="9"/>
      <c r="R30" s="24"/>
      <c r="S30" s="23"/>
      <c r="T30" s="23"/>
      <c r="U30" s="24"/>
      <c r="V30" s="20">
        <f>IF($C30="","",IFERROR(INDEX('Référentiel'!$K$2:$K$83,MATCH($C30,'Référentiel'!$A$2:$A$83,0)),""))</f>
      </c>
      <c r="W30" s="20">
        <f>IF(AND(ISNUMBER($G30),$I30&lt;&gt;"Hors service",$I30&lt;&gt;"Location terminée"),$G30+ROW()/100000,"")</f>
      </c>
      <c r="X30" s="9"/>
    </row>
    <row r="31" spans="1:24" x14ac:dyDescent="0.25">
      <c r="A31" s="9"/>
      <c r="B31" s="9"/>
      <c r="C31" s="9"/>
      <c r="D31" s="9"/>
      <c r="E31" s="19">
        <f>IF($A31="","",IF(SUMPRODUCT(MAX((Vérifications!$B$2:$B$1001=$A31)*Vérifications!$L$2:$L$1001))=0,"",SUMPRODUCT(MAX((Vérifications!$B$2:$B$1001=$A31)*Vérifications!$L$2:$L$1001))))</f>
      </c>
      <c r="F31" s="20">
        <f>IF($E31="","",IFERROR(INDEX(Vérifications!$E$2:$E$1001,MATCH($A31&amp;"|"&amp;$E31,Vérifications!$M$2:$M$1001,0)),""))</f>
      </c>
      <c r="G31" s="19">
        <f>IF($N31="","",IF(ISNUMBER($E31),EDATE($E31,$N31),IF(AND(ISNUMBER($U31),IFERROR(INDEX('Référentiel'!$E$2:$E$83,MATCH($C31,'Référentiel'!$A$2:$A$83,0)),0)&gt;0),EDATE($U31,IFERROR(INDEX('Référentiel'!$E$2:$E$83,MATCH($C31,'Référentiel'!$A$2:$A$83,0)),0)),"")))</f>
      </c>
      <c r="H31" s="21">
        <f>IF(ISNUMBER($G31),$G31-TODAY(),"")</f>
      </c>
      <c r="I31" s="20">
        <f>IF(AND($A31="",$C31=""),"",IF($T31="Non","Hors service",IF(AND($Q31="Location",ISNUMBER($R31),$R31&lt;TODAY()),"Location terminée",IF(OR($F31="Mise à l'arrêt",IF($A31="",0,SUMPRODUCT((Réserves!$B$2:$B$301=$A31)*(Réserves!$E$2:$E$301="Mise à l'arrêt")*(Réserves!$J$2:$J$301&lt;&gt;"Levée")*(Réserves!$J$2:$J$301&lt;&gt;"")))&gt;0),"Arrêt : réserve à lever",IF($C31="","Type à choisir",IF($N31="","Périodicité à saisir",IF(OR(ISTEXT($U31),ISTEXT($R31)),"Date à corriger",IF(AND($E31="",$Q31="Location",$S31&lt;&gt;"Oui"),"Rapport loueur à obtenir",IF(NOT(ISNUMBER($G31)),"Vérif. initiale à tracer",IF($H31&lt;0,"En retard",IF(AND($Q31="Location",$S31&lt;&gt;"Oui"),"Rapport loueur à obtenir",IF($H31&lt;='Tableau de bord'!$C$4,"À planifier","À jour"))))))))))))</f>
      </c>
      <c r="J31" s="22">
        <f>IF($A31="","",COUNTIFS(Réserves!$B$2:$B$301,$A31,Réserves!$J$2:$J$301,"Ouverte")+COUNTIFS(Réserves!$B$2:$B$301,$A31,Réserves!$J$2:$J$301,"En retard"))</f>
      </c>
      <c r="K31" s="20">
        <f>IF($C31="","",IFERROR(INDEX('Référentiel'!$B$2:$B$83,MATCH($C31,'Référentiel'!$A$2:$A$83,0)),"Type hors liste"))</f>
      </c>
      <c r="L31" s="22">
        <f>IF($C31="","",IF(IFERROR(INDEX('Référentiel'!$C$2:$C$83,MATCH($C31,'Référentiel'!$A$2:$A$83,0)),0)=0,"",IFERROR(INDEX('Référentiel'!$C$2:$C$83,MATCH($C31,'Référentiel'!$A$2:$A$83,0)),0)))</f>
      </c>
      <c r="M31" s="23"/>
      <c r="N31" s="22">
        <f>IF($C31="","",IF(IF($M31&lt;&gt;"",IF($L31&lt;&gt;"",MIN($L31,$M31),$M31),IF($L31&lt;&gt;"",$L31,IF(IFERROR(INDEX('Référentiel'!$D$2:$D$83,MATCH($C31,'Référentiel'!$A$2:$A$83,0)),0)&gt;0,IFERROR(INDEX('Référentiel'!$D$2:$D$83,MATCH($C31,'Référentiel'!$A$2:$A$83,0)),0),"")))="","",IF(AND(IFERROR(INDEX('Référentiel'!$F$2:$F$83,MATCH($C31,'Référentiel'!$A$2:$A$83,0)),0)&gt;0,N($J31)&gt;0),MIN(IF($M31&lt;&gt;"",IF($L31&lt;&gt;"",MIN($L31,$M31),$M31),IF($L31&lt;&gt;"",$L31,IF(IFERROR(INDEX('Référentiel'!$D$2:$D$83,MATCH($C31,'Référentiel'!$A$2:$A$83,0)),0)&gt;0,IFERROR(INDEX('Référentiel'!$D$2:$D$83,MATCH($C31,'Référentiel'!$A$2:$A$83,0)),0),""))),IFERROR(INDEX('Référentiel'!$F$2:$F$83,MATCH($C31,'Référentiel'!$A$2:$A$83,0)),0)),IF($M31&lt;&gt;"",IF($L31&lt;&gt;"",MIN($L31,$M31),$M31),IF($L31&lt;&gt;"",$L31,IF(IFERROR(INDEX('Référentiel'!$D$2:$D$83,MATCH($C31,'Référentiel'!$A$2:$A$83,0)),0)&gt;0,IFERROR(INDEX('Référentiel'!$D$2:$D$83,MATCH($C31,'Référentiel'!$A$2:$A$83,0)),0),""))))))</f>
      </c>
      <c r="O31" s="9"/>
      <c r="P31" s="23"/>
      <c r="Q31" s="9"/>
      <c r="R31" s="24"/>
      <c r="S31" s="23"/>
      <c r="T31" s="23"/>
      <c r="U31" s="24"/>
      <c r="V31" s="20">
        <f>IF($C31="","",IFERROR(INDEX('Référentiel'!$K$2:$K$83,MATCH($C31,'Référentiel'!$A$2:$A$83,0)),""))</f>
      </c>
      <c r="W31" s="20">
        <f>IF(AND(ISNUMBER($G31),$I31&lt;&gt;"Hors service",$I31&lt;&gt;"Location terminée"),$G31+ROW()/100000,"")</f>
      </c>
      <c r="X31" s="9"/>
    </row>
    <row r="32" spans="1:24" x14ac:dyDescent="0.25">
      <c r="A32" s="9"/>
      <c r="B32" s="9"/>
      <c r="C32" s="9"/>
      <c r="D32" s="9"/>
      <c r="E32" s="19">
        <f>IF($A32="","",IF(SUMPRODUCT(MAX((Vérifications!$B$2:$B$1001=$A32)*Vérifications!$L$2:$L$1001))=0,"",SUMPRODUCT(MAX((Vérifications!$B$2:$B$1001=$A32)*Vérifications!$L$2:$L$1001))))</f>
      </c>
      <c r="F32" s="20">
        <f>IF($E32="","",IFERROR(INDEX(Vérifications!$E$2:$E$1001,MATCH($A32&amp;"|"&amp;$E32,Vérifications!$M$2:$M$1001,0)),""))</f>
      </c>
      <c r="G32" s="19">
        <f>IF($N32="","",IF(ISNUMBER($E32),EDATE($E32,$N32),IF(AND(ISNUMBER($U32),IFERROR(INDEX('Référentiel'!$E$2:$E$83,MATCH($C32,'Référentiel'!$A$2:$A$83,0)),0)&gt;0),EDATE($U32,IFERROR(INDEX('Référentiel'!$E$2:$E$83,MATCH($C32,'Référentiel'!$A$2:$A$83,0)),0)),"")))</f>
      </c>
      <c r="H32" s="21">
        <f>IF(ISNUMBER($G32),$G32-TODAY(),"")</f>
      </c>
      <c r="I32" s="20">
        <f>IF(AND($A32="",$C32=""),"",IF($T32="Non","Hors service",IF(AND($Q32="Location",ISNUMBER($R32),$R32&lt;TODAY()),"Location terminée",IF(OR($F32="Mise à l'arrêt",IF($A32="",0,SUMPRODUCT((Réserves!$B$2:$B$301=$A32)*(Réserves!$E$2:$E$301="Mise à l'arrêt")*(Réserves!$J$2:$J$301&lt;&gt;"Levée")*(Réserves!$J$2:$J$301&lt;&gt;"")))&gt;0),"Arrêt : réserve à lever",IF($C32="","Type à choisir",IF($N32="","Périodicité à saisir",IF(OR(ISTEXT($U32),ISTEXT($R32)),"Date à corriger",IF(AND($E32="",$Q32="Location",$S32&lt;&gt;"Oui"),"Rapport loueur à obtenir",IF(NOT(ISNUMBER($G32)),"Vérif. initiale à tracer",IF($H32&lt;0,"En retard",IF(AND($Q32="Location",$S32&lt;&gt;"Oui"),"Rapport loueur à obtenir",IF($H32&lt;='Tableau de bord'!$C$4,"À planifier","À jour"))))))))))))</f>
      </c>
      <c r="J32" s="22">
        <f>IF($A32="","",COUNTIFS(Réserves!$B$2:$B$301,$A32,Réserves!$J$2:$J$301,"Ouverte")+COUNTIFS(Réserves!$B$2:$B$301,$A32,Réserves!$J$2:$J$301,"En retard"))</f>
      </c>
      <c r="K32" s="20">
        <f>IF($C32="","",IFERROR(INDEX('Référentiel'!$B$2:$B$83,MATCH($C32,'Référentiel'!$A$2:$A$83,0)),"Type hors liste"))</f>
      </c>
      <c r="L32" s="22">
        <f>IF($C32="","",IF(IFERROR(INDEX('Référentiel'!$C$2:$C$83,MATCH($C32,'Référentiel'!$A$2:$A$83,0)),0)=0,"",IFERROR(INDEX('Référentiel'!$C$2:$C$83,MATCH($C32,'Référentiel'!$A$2:$A$83,0)),0)))</f>
      </c>
      <c r="M32" s="23"/>
      <c r="N32" s="22">
        <f>IF($C32="","",IF(IF($M32&lt;&gt;"",IF($L32&lt;&gt;"",MIN($L32,$M32),$M32),IF($L32&lt;&gt;"",$L32,IF(IFERROR(INDEX('Référentiel'!$D$2:$D$83,MATCH($C32,'Référentiel'!$A$2:$A$83,0)),0)&gt;0,IFERROR(INDEX('Référentiel'!$D$2:$D$83,MATCH($C32,'Référentiel'!$A$2:$A$83,0)),0),"")))="","",IF(AND(IFERROR(INDEX('Référentiel'!$F$2:$F$83,MATCH($C32,'Référentiel'!$A$2:$A$83,0)),0)&gt;0,N($J32)&gt;0),MIN(IF($M32&lt;&gt;"",IF($L32&lt;&gt;"",MIN($L32,$M32),$M32),IF($L32&lt;&gt;"",$L32,IF(IFERROR(INDEX('Référentiel'!$D$2:$D$83,MATCH($C32,'Référentiel'!$A$2:$A$83,0)),0)&gt;0,IFERROR(INDEX('Référentiel'!$D$2:$D$83,MATCH($C32,'Référentiel'!$A$2:$A$83,0)),0),""))),IFERROR(INDEX('Référentiel'!$F$2:$F$83,MATCH($C32,'Référentiel'!$A$2:$A$83,0)),0)),IF($M32&lt;&gt;"",IF($L32&lt;&gt;"",MIN($L32,$M32),$M32),IF($L32&lt;&gt;"",$L32,IF(IFERROR(INDEX('Référentiel'!$D$2:$D$83,MATCH($C32,'Référentiel'!$A$2:$A$83,0)),0)&gt;0,IFERROR(INDEX('Référentiel'!$D$2:$D$83,MATCH($C32,'Référentiel'!$A$2:$A$83,0)),0),""))))))</f>
      </c>
      <c r="O32" s="9"/>
      <c r="P32" s="23"/>
      <c r="Q32" s="9"/>
      <c r="R32" s="24"/>
      <c r="S32" s="23"/>
      <c r="T32" s="23"/>
      <c r="U32" s="24"/>
      <c r="V32" s="20">
        <f>IF($C32="","",IFERROR(INDEX('Référentiel'!$K$2:$K$83,MATCH($C32,'Référentiel'!$A$2:$A$83,0)),""))</f>
      </c>
      <c r="W32" s="20">
        <f>IF(AND(ISNUMBER($G32),$I32&lt;&gt;"Hors service",$I32&lt;&gt;"Location terminée"),$G32+ROW()/100000,"")</f>
      </c>
      <c r="X32" s="9"/>
    </row>
    <row r="33" spans="1:24" x14ac:dyDescent="0.25">
      <c r="A33" s="9"/>
      <c r="B33" s="9"/>
      <c r="C33" s="9"/>
      <c r="D33" s="9"/>
      <c r="E33" s="19">
        <f>IF($A33="","",IF(SUMPRODUCT(MAX((Vérifications!$B$2:$B$1001=$A33)*Vérifications!$L$2:$L$1001))=0,"",SUMPRODUCT(MAX((Vérifications!$B$2:$B$1001=$A33)*Vérifications!$L$2:$L$1001))))</f>
      </c>
      <c r="F33" s="20">
        <f>IF($E33="","",IFERROR(INDEX(Vérifications!$E$2:$E$1001,MATCH($A33&amp;"|"&amp;$E33,Vérifications!$M$2:$M$1001,0)),""))</f>
      </c>
      <c r="G33" s="19">
        <f>IF($N33="","",IF(ISNUMBER($E33),EDATE($E33,$N33),IF(AND(ISNUMBER($U33),IFERROR(INDEX('Référentiel'!$E$2:$E$83,MATCH($C33,'Référentiel'!$A$2:$A$83,0)),0)&gt;0),EDATE($U33,IFERROR(INDEX('Référentiel'!$E$2:$E$83,MATCH($C33,'Référentiel'!$A$2:$A$83,0)),0)),"")))</f>
      </c>
      <c r="H33" s="21">
        <f>IF(ISNUMBER($G33),$G33-TODAY(),"")</f>
      </c>
      <c r="I33" s="20">
        <f>IF(AND($A33="",$C33=""),"",IF($T33="Non","Hors service",IF(AND($Q33="Location",ISNUMBER($R33),$R33&lt;TODAY()),"Location terminée",IF(OR($F33="Mise à l'arrêt",IF($A33="",0,SUMPRODUCT((Réserves!$B$2:$B$301=$A33)*(Réserves!$E$2:$E$301="Mise à l'arrêt")*(Réserves!$J$2:$J$301&lt;&gt;"Levée")*(Réserves!$J$2:$J$301&lt;&gt;"")))&gt;0),"Arrêt : réserve à lever",IF($C33="","Type à choisir",IF($N33="","Périodicité à saisir",IF(OR(ISTEXT($U33),ISTEXT($R33)),"Date à corriger",IF(AND($E33="",$Q33="Location",$S33&lt;&gt;"Oui"),"Rapport loueur à obtenir",IF(NOT(ISNUMBER($G33)),"Vérif. initiale à tracer",IF($H33&lt;0,"En retard",IF(AND($Q33="Location",$S33&lt;&gt;"Oui"),"Rapport loueur à obtenir",IF($H33&lt;='Tableau de bord'!$C$4,"À planifier","À jour"))))))))))))</f>
      </c>
      <c r="J33" s="22">
        <f>IF($A33="","",COUNTIFS(Réserves!$B$2:$B$301,$A33,Réserves!$J$2:$J$301,"Ouverte")+COUNTIFS(Réserves!$B$2:$B$301,$A33,Réserves!$J$2:$J$301,"En retard"))</f>
      </c>
      <c r="K33" s="20">
        <f>IF($C33="","",IFERROR(INDEX('Référentiel'!$B$2:$B$83,MATCH($C33,'Référentiel'!$A$2:$A$83,0)),"Type hors liste"))</f>
      </c>
      <c r="L33" s="22">
        <f>IF($C33="","",IF(IFERROR(INDEX('Référentiel'!$C$2:$C$83,MATCH($C33,'Référentiel'!$A$2:$A$83,0)),0)=0,"",IFERROR(INDEX('Référentiel'!$C$2:$C$83,MATCH($C33,'Référentiel'!$A$2:$A$83,0)),0)))</f>
      </c>
      <c r="M33" s="23"/>
      <c r="N33" s="22">
        <f>IF($C33="","",IF(IF($M33&lt;&gt;"",IF($L33&lt;&gt;"",MIN($L33,$M33),$M33),IF($L33&lt;&gt;"",$L33,IF(IFERROR(INDEX('Référentiel'!$D$2:$D$83,MATCH($C33,'Référentiel'!$A$2:$A$83,0)),0)&gt;0,IFERROR(INDEX('Référentiel'!$D$2:$D$83,MATCH($C33,'Référentiel'!$A$2:$A$83,0)),0),"")))="","",IF(AND(IFERROR(INDEX('Référentiel'!$F$2:$F$83,MATCH($C33,'Référentiel'!$A$2:$A$83,0)),0)&gt;0,N($J33)&gt;0),MIN(IF($M33&lt;&gt;"",IF($L33&lt;&gt;"",MIN($L33,$M33),$M33),IF($L33&lt;&gt;"",$L33,IF(IFERROR(INDEX('Référentiel'!$D$2:$D$83,MATCH($C33,'Référentiel'!$A$2:$A$83,0)),0)&gt;0,IFERROR(INDEX('Référentiel'!$D$2:$D$83,MATCH($C33,'Référentiel'!$A$2:$A$83,0)),0),""))),IFERROR(INDEX('Référentiel'!$F$2:$F$83,MATCH($C33,'Référentiel'!$A$2:$A$83,0)),0)),IF($M33&lt;&gt;"",IF($L33&lt;&gt;"",MIN($L33,$M33),$M33),IF($L33&lt;&gt;"",$L33,IF(IFERROR(INDEX('Référentiel'!$D$2:$D$83,MATCH($C33,'Référentiel'!$A$2:$A$83,0)),0)&gt;0,IFERROR(INDEX('Référentiel'!$D$2:$D$83,MATCH($C33,'Référentiel'!$A$2:$A$83,0)),0),""))))))</f>
      </c>
      <c r="O33" s="9"/>
      <c r="P33" s="23"/>
      <c r="Q33" s="9"/>
      <c r="R33" s="24"/>
      <c r="S33" s="23"/>
      <c r="T33" s="23"/>
      <c r="U33" s="24"/>
      <c r="V33" s="20">
        <f>IF($C33="","",IFERROR(INDEX('Référentiel'!$K$2:$K$83,MATCH($C33,'Référentiel'!$A$2:$A$83,0)),""))</f>
      </c>
      <c r="W33" s="20">
        <f>IF(AND(ISNUMBER($G33),$I33&lt;&gt;"Hors service",$I33&lt;&gt;"Location terminée"),$G33+ROW()/100000,"")</f>
      </c>
      <c r="X33" s="9"/>
    </row>
    <row r="34" spans="1:24" x14ac:dyDescent="0.25">
      <c r="A34" s="9"/>
      <c r="B34" s="9"/>
      <c r="C34" s="9"/>
      <c r="D34" s="9"/>
      <c r="E34" s="19">
        <f>IF($A34="","",IF(SUMPRODUCT(MAX((Vérifications!$B$2:$B$1001=$A34)*Vérifications!$L$2:$L$1001))=0,"",SUMPRODUCT(MAX((Vérifications!$B$2:$B$1001=$A34)*Vérifications!$L$2:$L$1001))))</f>
      </c>
      <c r="F34" s="20">
        <f>IF($E34="","",IFERROR(INDEX(Vérifications!$E$2:$E$1001,MATCH($A34&amp;"|"&amp;$E34,Vérifications!$M$2:$M$1001,0)),""))</f>
      </c>
      <c r="G34" s="19">
        <f>IF($N34="","",IF(ISNUMBER($E34),EDATE($E34,$N34),IF(AND(ISNUMBER($U34),IFERROR(INDEX('Référentiel'!$E$2:$E$83,MATCH($C34,'Référentiel'!$A$2:$A$83,0)),0)&gt;0),EDATE($U34,IFERROR(INDEX('Référentiel'!$E$2:$E$83,MATCH($C34,'Référentiel'!$A$2:$A$83,0)),0)),"")))</f>
      </c>
      <c r="H34" s="21">
        <f>IF(ISNUMBER($G34),$G34-TODAY(),"")</f>
      </c>
      <c r="I34" s="20">
        <f>IF(AND($A34="",$C34=""),"",IF($T34="Non","Hors service",IF(AND($Q34="Location",ISNUMBER($R34),$R34&lt;TODAY()),"Location terminée",IF(OR($F34="Mise à l'arrêt",IF($A34="",0,SUMPRODUCT((Réserves!$B$2:$B$301=$A34)*(Réserves!$E$2:$E$301="Mise à l'arrêt")*(Réserves!$J$2:$J$301&lt;&gt;"Levée")*(Réserves!$J$2:$J$301&lt;&gt;"")))&gt;0),"Arrêt : réserve à lever",IF($C34="","Type à choisir",IF($N34="","Périodicité à saisir",IF(OR(ISTEXT($U34),ISTEXT($R34)),"Date à corriger",IF(AND($E34="",$Q34="Location",$S34&lt;&gt;"Oui"),"Rapport loueur à obtenir",IF(NOT(ISNUMBER($G34)),"Vérif. initiale à tracer",IF($H34&lt;0,"En retard",IF(AND($Q34="Location",$S34&lt;&gt;"Oui"),"Rapport loueur à obtenir",IF($H34&lt;='Tableau de bord'!$C$4,"À planifier","À jour"))))))))))))</f>
      </c>
      <c r="J34" s="22">
        <f>IF($A34="","",COUNTIFS(Réserves!$B$2:$B$301,$A34,Réserves!$J$2:$J$301,"Ouverte")+COUNTIFS(Réserves!$B$2:$B$301,$A34,Réserves!$J$2:$J$301,"En retard"))</f>
      </c>
      <c r="K34" s="20">
        <f>IF($C34="","",IFERROR(INDEX('Référentiel'!$B$2:$B$83,MATCH($C34,'Référentiel'!$A$2:$A$83,0)),"Type hors liste"))</f>
      </c>
      <c r="L34" s="22">
        <f>IF($C34="","",IF(IFERROR(INDEX('Référentiel'!$C$2:$C$83,MATCH($C34,'Référentiel'!$A$2:$A$83,0)),0)=0,"",IFERROR(INDEX('Référentiel'!$C$2:$C$83,MATCH($C34,'Référentiel'!$A$2:$A$83,0)),0)))</f>
      </c>
      <c r="M34" s="23"/>
      <c r="N34" s="22">
        <f>IF($C34="","",IF(IF($M34&lt;&gt;"",IF($L34&lt;&gt;"",MIN($L34,$M34),$M34),IF($L34&lt;&gt;"",$L34,IF(IFERROR(INDEX('Référentiel'!$D$2:$D$83,MATCH($C34,'Référentiel'!$A$2:$A$83,0)),0)&gt;0,IFERROR(INDEX('Référentiel'!$D$2:$D$83,MATCH($C34,'Référentiel'!$A$2:$A$83,0)),0),"")))="","",IF(AND(IFERROR(INDEX('Référentiel'!$F$2:$F$83,MATCH($C34,'Référentiel'!$A$2:$A$83,0)),0)&gt;0,N($J34)&gt;0),MIN(IF($M34&lt;&gt;"",IF($L34&lt;&gt;"",MIN($L34,$M34),$M34),IF($L34&lt;&gt;"",$L34,IF(IFERROR(INDEX('Référentiel'!$D$2:$D$83,MATCH($C34,'Référentiel'!$A$2:$A$83,0)),0)&gt;0,IFERROR(INDEX('Référentiel'!$D$2:$D$83,MATCH($C34,'Référentiel'!$A$2:$A$83,0)),0),""))),IFERROR(INDEX('Référentiel'!$F$2:$F$83,MATCH($C34,'Référentiel'!$A$2:$A$83,0)),0)),IF($M34&lt;&gt;"",IF($L34&lt;&gt;"",MIN($L34,$M34),$M34),IF($L34&lt;&gt;"",$L34,IF(IFERROR(INDEX('Référentiel'!$D$2:$D$83,MATCH($C34,'Référentiel'!$A$2:$A$83,0)),0)&gt;0,IFERROR(INDEX('Référentiel'!$D$2:$D$83,MATCH($C34,'Référentiel'!$A$2:$A$83,0)),0),""))))))</f>
      </c>
      <c r="O34" s="9"/>
      <c r="P34" s="23"/>
      <c r="Q34" s="9"/>
      <c r="R34" s="24"/>
      <c r="S34" s="23"/>
      <c r="T34" s="23"/>
      <c r="U34" s="24"/>
      <c r="V34" s="20">
        <f>IF($C34="","",IFERROR(INDEX('Référentiel'!$K$2:$K$83,MATCH($C34,'Référentiel'!$A$2:$A$83,0)),""))</f>
      </c>
      <c r="W34" s="20">
        <f>IF(AND(ISNUMBER($G34),$I34&lt;&gt;"Hors service",$I34&lt;&gt;"Location terminée"),$G34+ROW()/100000,"")</f>
      </c>
      <c r="X34" s="9"/>
    </row>
    <row r="35" spans="1:24" x14ac:dyDescent="0.25">
      <c r="A35" s="9"/>
      <c r="B35" s="9"/>
      <c r="C35" s="9"/>
      <c r="D35" s="9"/>
      <c r="E35" s="19">
        <f>IF($A35="","",IF(SUMPRODUCT(MAX((Vérifications!$B$2:$B$1001=$A35)*Vérifications!$L$2:$L$1001))=0,"",SUMPRODUCT(MAX((Vérifications!$B$2:$B$1001=$A35)*Vérifications!$L$2:$L$1001))))</f>
      </c>
      <c r="F35" s="20">
        <f>IF($E35="","",IFERROR(INDEX(Vérifications!$E$2:$E$1001,MATCH($A35&amp;"|"&amp;$E35,Vérifications!$M$2:$M$1001,0)),""))</f>
      </c>
      <c r="G35" s="19">
        <f>IF($N35="","",IF(ISNUMBER($E35),EDATE($E35,$N35),IF(AND(ISNUMBER($U35),IFERROR(INDEX('Référentiel'!$E$2:$E$83,MATCH($C35,'Référentiel'!$A$2:$A$83,0)),0)&gt;0),EDATE($U35,IFERROR(INDEX('Référentiel'!$E$2:$E$83,MATCH($C35,'Référentiel'!$A$2:$A$83,0)),0)),"")))</f>
      </c>
      <c r="H35" s="21">
        <f>IF(ISNUMBER($G35),$G35-TODAY(),"")</f>
      </c>
      <c r="I35" s="20">
        <f>IF(AND($A35="",$C35=""),"",IF($T35="Non","Hors service",IF(AND($Q35="Location",ISNUMBER($R35),$R35&lt;TODAY()),"Location terminée",IF(OR($F35="Mise à l'arrêt",IF($A35="",0,SUMPRODUCT((Réserves!$B$2:$B$301=$A35)*(Réserves!$E$2:$E$301="Mise à l'arrêt")*(Réserves!$J$2:$J$301&lt;&gt;"Levée")*(Réserves!$J$2:$J$301&lt;&gt;"")))&gt;0),"Arrêt : réserve à lever",IF($C35="","Type à choisir",IF($N35="","Périodicité à saisir",IF(OR(ISTEXT($U35),ISTEXT($R35)),"Date à corriger",IF(AND($E35="",$Q35="Location",$S35&lt;&gt;"Oui"),"Rapport loueur à obtenir",IF(NOT(ISNUMBER($G35)),"Vérif. initiale à tracer",IF($H35&lt;0,"En retard",IF(AND($Q35="Location",$S35&lt;&gt;"Oui"),"Rapport loueur à obtenir",IF($H35&lt;='Tableau de bord'!$C$4,"À planifier","À jour"))))))))))))</f>
      </c>
      <c r="J35" s="22">
        <f>IF($A35="","",COUNTIFS(Réserves!$B$2:$B$301,$A35,Réserves!$J$2:$J$301,"Ouverte")+COUNTIFS(Réserves!$B$2:$B$301,$A35,Réserves!$J$2:$J$301,"En retard"))</f>
      </c>
      <c r="K35" s="20">
        <f>IF($C35="","",IFERROR(INDEX('Référentiel'!$B$2:$B$83,MATCH($C35,'Référentiel'!$A$2:$A$83,0)),"Type hors liste"))</f>
      </c>
      <c r="L35" s="22">
        <f>IF($C35="","",IF(IFERROR(INDEX('Référentiel'!$C$2:$C$83,MATCH($C35,'Référentiel'!$A$2:$A$83,0)),0)=0,"",IFERROR(INDEX('Référentiel'!$C$2:$C$83,MATCH($C35,'Référentiel'!$A$2:$A$83,0)),0)))</f>
      </c>
      <c r="M35" s="23"/>
      <c r="N35" s="22">
        <f>IF($C35="","",IF(IF($M35&lt;&gt;"",IF($L35&lt;&gt;"",MIN($L35,$M35),$M35),IF($L35&lt;&gt;"",$L35,IF(IFERROR(INDEX('Référentiel'!$D$2:$D$83,MATCH($C35,'Référentiel'!$A$2:$A$83,0)),0)&gt;0,IFERROR(INDEX('Référentiel'!$D$2:$D$83,MATCH($C35,'Référentiel'!$A$2:$A$83,0)),0),"")))="","",IF(AND(IFERROR(INDEX('Référentiel'!$F$2:$F$83,MATCH($C35,'Référentiel'!$A$2:$A$83,0)),0)&gt;0,N($J35)&gt;0),MIN(IF($M35&lt;&gt;"",IF($L35&lt;&gt;"",MIN($L35,$M35),$M35),IF($L35&lt;&gt;"",$L35,IF(IFERROR(INDEX('Référentiel'!$D$2:$D$83,MATCH($C35,'Référentiel'!$A$2:$A$83,0)),0)&gt;0,IFERROR(INDEX('Référentiel'!$D$2:$D$83,MATCH($C35,'Référentiel'!$A$2:$A$83,0)),0),""))),IFERROR(INDEX('Référentiel'!$F$2:$F$83,MATCH($C35,'Référentiel'!$A$2:$A$83,0)),0)),IF($M35&lt;&gt;"",IF($L35&lt;&gt;"",MIN($L35,$M35),$M35),IF($L35&lt;&gt;"",$L35,IF(IFERROR(INDEX('Référentiel'!$D$2:$D$83,MATCH($C35,'Référentiel'!$A$2:$A$83,0)),0)&gt;0,IFERROR(INDEX('Référentiel'!$D$2:$D$83,MATCH($C35,'Référentiel'!$A$2:$A$83,0)),0),""))))))</f>
      </c>
      <c r="O35" s="9"/>
      <c r="P35" s="23"/>
      <c r="Q35" s="9"/>
      <c r="R35" s="24"/>
      <c r="S35" s="23"/>
      <c r="T35" s="23"/>
      <c r="U35" s="24"/>
      <c r="V35" s="20">
        <f>IF($C35="","",IFERROR(INDEX('Référentiel'!$K$2:$K$83,MATCH($C35,'Référentiel'!$A$2:$A$83,0)),""))</f>
      </c>
      <c r="W35" s="20">
        <f>IF(AND(ISNUMBER($G35),$I35&lt;&gt;"Hors service",$I35&lt;&gt;"Location terminée"),$G35+ROW()/100000,"")</f>
      </c>
      <c r="X35" s="9"/>
    </row>
    <row r="36" spans="1:24" x14ac:dyDescent="0.25">
      <c r="A36" s="9"/>
      <c r="B36" s="9"/>
      <c r="C36" s="9"/>
      <c r="D36" s="9"/>
      <c r="E36" s="19">
        <f>IF($A36="","",IF(SUMPRODUCT(MAX((Vérifications!$B$2:$B$1001=$A36)*Vérifications!$L$2:$L$1001))=0,"",SUMPRODUCT(MAX((Vérifications!$B$2:$B$1001=$A36)*Vérifications!$L$2:$L$1001))))</f>
      </c>
      <c r="F36" s="20">
        <f>IF($E36="","",IFERROR(INDEX(Vérifications!$E$2:$E$1001,MATCH($A36&amp;"|"&amp;$E36,Vérifications!$M$2:$M$1001,0)),""))</f>
      </c>
      <c r="G36" s="19">
        <f>IF($N36="","",IF(ISNUMBER($E36),EDATE($E36,$N36),IF(AND(ISNUMBER($U36),IFERROR(INDEX('Référentiel'!$E$2:$E$83,MATCH($C36,'Référentiel'!$A$2:$A$83,0)),0)&gt;0),EDATE($U36,IFERROR(INDEX('Référentiel'!$E$2:$E$83,MATCH($C36,'Référentiel'!$A$2:$A$83,0)),0)),"")))</f>
      </c>
      <c r="H36" s="21">
        <f>IF(ISNUMBER($G36),$G36-TODAY(),"")</f>
      </c>
      <c r="I36" s="20">
        <f>IF(AND($A36="",$C36=""),"",IF($T36="Non","Hors service",IF(AND($Q36="Location",ISNUMBER($R36),$R36&lt;TODAY()),"Location terminée",IF(OR($F36="Mise à l'arrêt",IF($A36="",0,SUMPRODUCT((Réserves!$B$2:$B$301=$A36)*(Réserves!$E$2:$E$301="Mise à l'arrêt")*(Réserves!$J$2:$J$301&lt;&gt;"Levée")*(Réserves!$J$2:$J$301&lt;&gt;"")))&gt;0),"Arrêt : réserve à lever",IF($C36="","Type à choisir",IF($N36="","Périodicité à saisir",IF(OR(ISTEXT($U36),ISTEXT($R36)),"Date à corriger",IF(AND($E36="",$Q36="Location",$S36&lt;&gt;"Oui"),"Rapport loueur à obtenir",IF(NOT(ISNUMBER($G36)),"Vérif. initiale à tracer",IF($H36&lt;0,"En retard",IF(AND($Q36="Location",$S36&lt;&gt;"Oui"),"Rapport loueur à obtenir",IF($H36&lt;='Tableau de bord'!$C$4,"À planifier","À jour"))))))))))))</f>
      </c>
      <c r="J36" s="22">
        <f>IF($A36="","",COUNTIFS(Réserves!$B$2:$B$301,$A36,Réserves!$J$2:$J$301,"Ouverte")+COUNTIFS(Réserves!$B$2:$B$301,$A36,Réserves!$J$2:$J$301,"En retard"))</f>
      </c>
      <c r="K36" s="20">
        <f>IF($C36="","",IFERROR(INDEX('Référentiel'!$B$2:$B$83,MATCH($C36,'Référentiel'!$A$2:$A$83,0)),"Type hors liste"))</f>
      </c>
      <c r="L36" s="22">
        <f>IF($C36="","",IF(IFERROR(INDEX('Référentiel'!$C$2:$C$83,MATCH($C36,'Référentiel'!$A$2:$A$83,0)),0)=0,"",IFERROR(INDEX('Référentiel'!$C$2:$C$83,MATCH($C36,'Référentiel'!$A$2:$A$83,0)),0)))</f>
      </c>
      <c r="M36" s="23"/>
      <c r="N36" s="22">
        <f>IF($C36="","",IF(IF($M36&lt;&gt;"",IF($L36&lt;&gt;"",MIN($L36,$M36),$M36),IF($L36&lt;&gt;"",$L36,IF(IFERROR(INDEX('Référentiel'!$D$2:$D$83,MATCH($C36,'Référentiel'!$A$2:$A$83,0)),0)&gt;0,IFERROR(INDEX('Référentiel'!$D$2:$D$83,MATCH($C36,'Référentiel'!$A$2:$A$83,0)),0),"")))="","",IF(AND(IFERROR(INDEX('Référentiel'!$F$2:$F$83,MATCH($C36,'Référentiel'!$A$2:$A$83,0)),0)&gt;0,N($J36)&gt;0),MIN(IF($M36&lt;&gt;"",IF($L36&lt;&gt;"",MIN($L36,$M36),$M36),IF($L36&lt;&gt;"",$L36,IF(IFERROR(INDEX('Référentiel'!$D$2:$D$83,MATCH($C36,'Référentiel'!$A$2:$A$83,0)),0)&gt;0,IFERROR(INDEX('Référentiel'!$D$2:$D$83,MATCH($C36,'Référentiel'!$A$2:$A$83,0)),0),""))),IFERROR(INDEX('Référentiel'!$F$2:$F$83,MATCH($C36,'Référentiel'!$A$2:$A$83,0)),0)),IF($M36&lt;&gt;"",IF($L36&lt;&gt;"",MIN($L36,$M36),$M36),IF($L36&lt;&gt;"",$L36,IF(IFERROR(INDEX('Référentiel'!$D$2:$D$83,MATCH($C36,'Référentiel'!$A$2:$A$83,0)),0)&gt;0,IFERROR(INDEX('Référentiel'!$D$2:$D$83,MATCH($C36,'Référentiel'!$A$2:$A$83,0)),0),""))))))</f>
      </c>
      <c r="O36" s="9"/>
      <c r="P36" s="23"/>
      <c r="Q36" s="9"/>
      <c r="R36" s="24"/>
      <c r="S36" s="23"/>
      <c r="T36" s="23"/>
      <c r="U36" s="24"/>
      <c r="V36" s="20">
        <f>IF($C36="","",IFERROR(INDEX('Référentiel'!$K$2:$K$83,MATCH($C36,'Référentiel'!$A$2:$A$83,0)),""))</f>
      </c>
      <c r="W36" s="20">
        <f>IF(AND(ISNUMBER($G36),$I36&lt;&gt;"Hors service",$I36&lt;&gt;"Location terminée"),$G36+ROW()/100000,"")</f>
      </c>
      <c r="X36" s="9"/>
    </row>
    <row r="37" spans="1:24" x14ac:dyDescent="0.25">
      <c r="A37" s="9"/>
      <c r="B37" s="9"/>
      <c r="C37" s="9"/>
      <c r="D37" s="9"/>
      <c r="E37" s="19">
        <f>IF($A37="","",IF(SUMPRODUCT(MAX((Vérifications!$B$2:$B$1001=$A37)*Vérifications!$L$2:$L$1001))=0,"",SUMPRODUCT(MAX((Vérifications!$B$2:$B$1001=$A37)*Vérifications!$L$2:$L$1001))))</f>
      </c>
      <c r="F37" s="20">
        <f>IF($E37="","",IFERROR(INDEX(Vérifications!$E$2:$E$1001,MATCH($A37&amp;"|"&amp;$E37,Vérifications!$M$2:$M$1001,0)),""))</f>
      </c>
      <c r="G37" s="19">
        <f>IF($N37="","",IF(ISNUMBER($E37),EDATE($E37,$N37),IF(AND(ISNUMBER($U37),IFERROR(INDEX('Référentiel'!$E$2:$E$83,MATCH($C37,'Référentiel'!$A$2:$A$83,0)),0)&gt;0),EDATE($U37,IFERROR(INDEX('Référentiel'!$E$2:$E$83,MATCH($C37,'Référentiel'!$A$2:$A$83,0)),0)),"")))</f>
      </c>
      <c r="H37" s="21">
        <f>IF(ISNUMBER($G37),$G37-TODAY(),"")</f>
      </c>
      <c r="I37" s="20">
        <f>IF(AND($A37="",$C37=""),"",IF($T37="Non","Hors service",IF(AND($Q37="Location",ISNUMBER($R37),$R37&lt;TODAY()),"Location terminée",IF(OR($F37="Mise à l'arrêt",IF($A37="",0,SUMPRODUCT((Réserves!$B$2:$B$301=$A37)*(Réserves!$E$2:$E$301="Mise à l'arrêt")*(Réserves!$J$2:$J$301&lt;&gt;"Levée")*(Réserves!$J$2:$J$301&lt;&gt;"")))&gt;0),"Arrêt : réserve à lever",IF($C37="","Type à choisir",IF($N37="","Périodicité à saisir",IF(OR(ISTEXT($U37),ISTEXT($R37)),"Date à corriger",IF(AND($E37="",$Q37="Location",$S37&lt;&gt;"Oui"),"Rapport loueur à obtenir",IF(NOT(ISNUMBER($G37)),"Vérif. initiale à tracer",IF($H37&lt;0,"En retard",IF(AND($Q37="Location",$S37&lt;&gt;"Oui"),"Rapport loueur à obtenir",IF($H37&lt;='Tableau de bord'!$C$4,"À planifier","À jour"))))))))))))</f>
      </c>
      <c r="J37" s="22">
        <f>IF($A37="","",COUNTIFS(Réserves!$B$2:$B$301,$A37,Réserves!$J$2:$J$301,"Ouverte")+COUNTIFS(Réserves!$B$2:$B$301,$A37,Réserves!$J$2:$J$301,"En retard"))</f>
      </c>
      <c r="K37" s="20">
        <f>IF($C37="","",IFERROR(INDEX('Référentiel'!$B$2:$B$83,MATCH($C37,'Référentiel'!$A$2:$A$83,0)),"Type hors liste"))</f>
      </c>
      <c r="L37" s="22">
        <f>IF($C37="","",IF(IFERROR(INDEX('Référentiel'!$C$2:$C$83,MATCH($C37,'Référentiel'!$A$2:$A$83,0)),0)=0,"",IFERROR(INDEX('Référentiel'!$C$2:$C$83,MATCH($C37,'Référentiel'!$A$2:$A$83,0)),0)))</f>
      </c>
      <c r="M37" s="23"/>
      <c r="N37" s="22">
        <f>IF($C37="","",IF(IF($M37&lt;&gt;"",IF($L37&lt;&gt;"",MIN($L37,$M37),$M37),IF($L37&lt;&gt;"",$L37,IF(IFERROR(INDEX('Référentiel'!$D$2:$D$83,MATCH($C37,'Référentiel'!$A$2:$A$83,0)),0)&gt;0,IFERROR(INDEX('Référentiel'!$D$2:$D$83,MATCH($C37,'Référentiel'!$A$2:$A$83,0)),0),"")))="","",IF(AND(IFERROR(INDEX('Référentiel'!$F$2:$F$83,MATCH($C37,'Référentiel'!$A$2:$A$83,0)),0)&gt;0,N($J37)&gt;0),MIN(IF($M37&lt;&gt;"",IF($L37&lt;&gt;"",MIN($L37,$M37),$M37),IF($L37&lt;&gt;"",$L37,IF(IFERROR(INDEX('Référentiel'!$D$2:$D$83,MATCH($C37,'Référentiel'!$A$2:$A$83,0)),0)&gt;0,IFERROR(INDEX('Référentiel'!$D$2:$D$83,MATCH($C37,'Référentiel'!$A$2:$A$83,0)),0),""))),IFERROR(INDEX('Référentiel'!$F$2:$F$83,MATCH($C37,'Référentiel'!$A$2:$A$83,0)),0)),IF($M37&lt;&gt;"",IF($L37&lt;&gt;"",MIN($L37,$M37),$M37),IF($L37&lt;&gt;"",$L37,IF(IFERROR(INDEX('Référentiel'!$D$2:$D$83,MATCH($C37,'Référentiel'!$A$2:$A$83,0)),0)&gt;0,IFERROR(INDEX('Référentiel'!$D$2:$D$83,MATCH($C37,'Référentiel'!$A$2:$A$83,0)),0),""))))))</f>
      </c>
      <c r="O37" s="9"/>
      <c r="P37" s="23"/>
      <c r="Q37" s="9"/>
      <c r="R37" s="24"/>
      <c r="S37" s="23"/>
      <c r="T37" s="23"/>
      <c r="U37" s="24"/>
      <c r="V37" s="20">
        <f>IF($C37="","",IFERROR(INDEX('Référentiel'!$K$2:$K$83,MATCH($C37,'Référentiel'!$A$2:$A$83,0)),""))</f>
      </c>
      <c r="W37" s="20">
        <f>IF(AND(ISNUMBER($G37),$I37&lt;&gt;"Hors service",$I37&lt;&gt;"Location terminée"),$G37+ROW()/100000,"")</f>
      </c>
      <c r="X37" s="9"/>
    </row>
    <row r="38" spans="1:24" x14ac:dyDescent="0.25">
      <c r="A38" s="9"/>
      <c r="B38" s="9"/>
      <c r="C38" s="9"/>
      <c r="D38" s="9"/>
      <c r="E38" s="19">
        <f>IF($A38="","",IF(SUMPRODUCT(MAX((Vérifications!$B$2:$B$1001=$A38)*Vérifications!$L$2:$L$1001))=0,"",SUMPRODUCT(MAX((Vérifications!$B$2:$B$1001=$A38)*Vérifications!$L$2:$L$1001))))</f>
      </c>
      <c r="F38" s="20">
        <f>IF($E38="","",IFERROR(INDEX(Vérifications!$E$2:$E$1001,MATCH($A38&amp;"|"&amp;$E38,Vérifications!$M$2:$M$1001,0)),""))</f>
      </c>
      <c r="G38" s="19">
        <f>IF($N38="","",IF(ISNUMBER($E38),EDATE($E38,$N38),IF(AND(ISNUMBER($U38),IFERROR(INDEX('Référentiel'!$E$2:$E$83,MATCH($C38,'Référentiel'!$A$2:$A$83,0)),0)&gt;0),EDATE($U38,IFERROR(INDEX('Référentiel'!$E$2:$E$83,MATCH($C38,'Référentiel'!$A$2:$A$83,0)),0)),"")))</f>
      </c>
      <c r="H38" s="21">
        <f>IF(ISNUMBER($G38),$G38-TODAY(),"")</f>
      </c>
      <c r="I38" s="20">
        <f>IF(AND($A38="",$C38=""),"",IF($T38="Non","Hors service",IF(AND($Q38="Location",ISNUMBER($R38),$R38&lt;TODAY()),"Location terminée",IF(OR($F38="Mise à l'arrêt",IF($A38="",0,SUMPRODUCT((Réserves!$B$2:$B$301=$A38)*(Réserves!$E$2:$E$301="Mise à l'arrêt")*(Réserves!$J$2:$J$301&lt;&gt;"Levée")*(Réserves!$J$2:$J$301&lt;&gt;"")))&gt;0),"Arrêt : réserve à lever",IF($C38="","Type à choisir",IF($N38="","Périodicité à saisir",IF(OR(ISTEXT($U38),ISTEXT($R38)),"Date à corriger",IF(AND($E38="",$Q38="Location",$S38&lt;&gt;"Oui"),"Rapport loueur à obtenir",IF(NOT(ISNUMBER($G38)),"Vérif. initiale à tracer",IF($H38&lt;0,"En retard",IF(AND($Q38="Location",$S38&lt;&gt;"Oui"),"Rapport loueur à obtenir",IF($H38&lt;='Tableau de bord'!$C$4,"À planifier","À jour"))))))))))))</f>
      </c>
      <c r="J38" s="22">
        <f>IF($A38="","",COUNTIFS(Réserves!$B$2:$B$301,$A38,Réserves!$J$2:$J$301,"Ouverte")+COUNTIFS(Réserves!$B$2:$B$301,$A38,Réserves!$J$2:$J$301,"En retard"))</f>
      </c>
      <c r="K38" s="20">
        <f>IF($C38="","",IFERROR(INDEX('Référentiel'!$B$2:$B$83,MATCH($C38,'Référentiel'!$A$2:$A$83,0)),"Type hors liste"))</f>
      </c>
      <c r="L38" s="22">
        <f>IF($C38="","",IF(IFERROR(INDEX('Référentiel'!$C$2:$C$83,MATCH($C38,'Référentiel'!$A$2:$A$83,0)),0)=0,"",IFERROR(INDEX('Référentiel'!$C$2:$C$83,MATCH($C38,'Référentiel'!$A$2:$A$83,0)),0)))</f>
      </c>
      <c r="M38" s="23"/>
      <c r="N38" s="22">
        <f>IF($C38="","",IF(IF($M38&lt;&gt;"",IF($L38&lt;&gt;"",MIN($L38,$M38),$M38),IF($L38&lt;&gt;"",$L38,IF(IFERROR(INDEX('Référentiel'!$D$2:$D$83,MATCH($C38,'Référentiel'!$A$2:$A$83,0)),0)&gt;0,IFERROR(INDEX('Référentiel'!$D$2:$D$83,MATCH($C38,'Référentiel'!$A$2:$A$83,0)),0),"")))="","",IF(AND(IFERROR(INDEX('Référentiel'!$F$2:$F$83,MATCH($C38,'Référentiel'!$A$2:$A$83,0)),0)&gt;0,N($J38)&gt;0),MIN(IF($M38&lt;&gt;"",IF($L38&lt;&gt;"",MIN($L38,$M38),$M38),IF($L38&lt;&gt;"",$L38,IF(IFERROR(INDEX('Référentiel'!$D$2:$D$83,MATCH($C38,'Référentiel'!$A$2:$A$83,0)),0)&gt;0,IFERROR(INDEX('Référentiel'!$D$2:$D$83,MATCH($C38,'Référentiel'!$A$2:$A$83,0)),0),""))),IFERROR(INDEX('Référentiel'!$F$2:$F$83,MATCH($C38,'Référentiel'!$A$2:$A$83,0)),0)),IF($M38&lt;&gt;"",IF($L38&lt;&gt;"",MIN($L38,$M38),$M38),IF($L38&lt;&gt;"",$L38,IF(IFERROR(INDEX('Référentiel'!$D$2:$D$83,MATCH($C38,'Référentiel'!$A$2:$A$83,0)),0)&gt;0,IFERROR(INDEX('Référentiel'!$D$2:$D$83,MATCH($C38,'Référentiel'!$A$2:$A$83,0)),0),""))))))</f>
      </c>
      <c r="O38" s="9"/>
      <c r="P38" s="23"/>
      <c r="Q38" s="9"/>
      <c r="R38" s="24"/>
      <c r="S38" s="23"/>
      <c r="T38" s="23"/>
      <c r="U38" s="24"/>
      <c r="V38" s="20">
        <f>IF($C38="","",IFERROR(INDEX('Référentiel'!$K$2:$K$83,MATCH($C38,'Référentiel'!$A$2:$A$83,0)),""))</f>
      </c>
      <c r="W38" s="20">
        <f>IF(AND(ISNUMBER($G38),$I38&lt;&gt;"Hors service",$I38&lt;&gt;"Location terminée"),$G38+ROW()/100000,"")</f>
      </c>
      <c r="X38" s="9"/>
    </row>
    <row r="39" spans="1:24" x14ac:dyDescent="0.25">
      <c r="A39" s="9"/>
      <c r="B39" s="9"/>
      <c r="C39" s="9"/>
      <c r="D39" s="9"/>
      <c r="E39" s="19">
        <f>IF($A39="","",IF(SUMPRODUCT(MAX((Vérifications!$B$2:$B$1001=$A39)*Vérifications!$L$2:$L$1001))=0,"",SUMPRODUCT(MAX((Vérifications!$B$2:$B$1001=$A39)*Vérifications!$L$2:$L$1001))))</f>
      </c>
      <c r="F39" s="20">
        <f>IF($E39="","",IFERROR(INDEX(Vérifications!$E$2:$E$1001,MATCH($A39&amp;"|"&amp;$E39,Vérifications!$M$2:$M$1001,0)),""))</f>
      </c>
      <c r="G39" s="19">
        <f>IF($N39="","",IF(ISNUMBER($E39),EDATE($E39,$N39),IF(AND(ISNUMBER($U39),IFERROR(INDEX('Référentiel'!$E$2:$E$83,MATCH($C39,'Référentiel'!$A$2:$A$83,0)),0)&gt;0),EDATE($U39,IFERROR(INDEX('Référentiel'!$E$2:$E$83,MATCH($C39,'Référentiel'!$A$2:$A$83,0)),0)),"")))</f>
      </c>
      <c r="H39" s="21">
        <f>IF(ISNUMBER($G39),$G39-TODAY(),"")</f>
      </c>
      <c r="I39" s="20">
        <f>IF(AND($A39="",$C39=""),"",IF($T39="Non","Hors service",IF(AND($Q39="Location",ISNUMBER($R39),$R39&lt;TODAY()),"Location terminée",IF(OR($F39="Mise à l'arrêt",IF($A39="",0,SUMPRODUCT((Réserves!$B$2:$B$301=$A39)*(Réserves!$E$2:$E$301="Mise à l'arrêt")*(Réserves!$J$2:$J$301&lt;&gt;"Levée")*(Réserves!$J$2:$J$301&lt;&gt;"")))&gt;0),"Arrêt : réserve à lever",IF($C39="","Type à choisir",IF($N39="","Périodicité à saisir",IF(OR(ISTEXT($U39),ISTEXT($R39)),"Date à corriger",IF(AND($E39="",$Q39="Location",$S39&lt;&gt;"Oui"),"Rapport loueur à obtenir",IF(NOT(ISNUMBER($G39)),"Vérif. initiale à tracer",IF($H39&lt;0,"En retard",IF(AND($Q39="Location",$S39&lt;&gt;"Oui"),"Rapport loueur à obtenir",IF($H39&lt;='Tableau de bord'!$C$4,"À planifier","À jour"))))))))))))</f>
      </c>
      <c r="J39" s="22">
        <f>IF($A39="","",COUNTIFS(Réserves!$B$2:$B$301,$A39,Réserves!$J$2:$J$301,"Ouverte")+COUNTIFS(Réserves!$B$2:$B$301,$A39,Réserves!$J$2:$J$301,"En retard"))</f>
      </c>
      <c r="K39" s="20">
        <f>IF($C39="","",IFERROR(INDEX('Référentiel'!$B$2:$B$83,MATCH($C39,'Référentiel'!$A$2:$A$83,0)),"Type hors liste"))</f>
      </c>
      <c r="L39" s="22">
        <f>IF($C39="","",IF(IFERROR(INDEX('Référentiel'!$C$2:$C$83,MATCH($C39,'Référentiel'!$A$2:$A$83,0)),0)=0,"",IFERROR(INDEX('Référentiel'!$C$2:$C$83,MATCH($C39,'Référentiel'!$A$2:$A$83,0)),0)))</f>
      </c>
      <c r="M39" s="23"/>
      <c r="N39" s="22">
        <f>IF($C39="","",IF(IF($M39&lt;&gt;"",IF($L39&lt;&gt;"",MIN($L39,$M39),$M39),IF($L39&lt;&gt;"",$L39,IF(IFERROR(INDEX('Référentiel'!$D$2:$D$83,MATCH($C39,'Référentiel'!$A$2:$A$83,0)),0)&gt;0,IFERROR(INDEX('Référentiel'!$D$2:$D$83,MATCH($C39,'Référentiel'!$A$2:$A$83,0)),0),"")))="","",IF(AND(IFERROR(INDEX('Référentiel'!$F$2:$F$83,MATCH($C39,'Référentiel'!$A$2:$A$83,0)),0)&gt;0,N($J39)&gt;0),MIN(IF($M39&lt;&gt;"",IF($L39&lt;&gt;"",MIN($L39,$M39),$M39),IF($L39&lt;&gt;"",$L39,IF(IFERROR(INDEX('Référentiel'!$D$2:$D$83,MATCH($C39,'Référentiel'!$A$2:$A$83,0)),0)&gt;0,IFERROR(INDEX('Référentiel'!$D$2:$D$83,MATCH($C39,'Référentiel'!$A$2:$A$83,0)),0),""))),IFERROR(INDEX('Référentiel'!$F$2:$F$83,MATCH($C39,'Référentiel'!$A$2:$A$83,0)),0)),IF($M39&lt;&gt;"",IF($L39&lt;&gt;"",MIN($L39,$M39),$M39),IF($L39&lt;&gt;"",$L39,IF(IFERROR(INDEX('Référentiel'!$D$2:$D$83,MATCH($C39,'Référentiel'!$A$2:$A$83,0)),0)&gt;0,IFERROR(INDEX('Référentiel'!$D$2:$D$83,MATCH($C39,'Référentiel'!$A$2:$A$83,0)),0),""))))))</f>
      </c>
      <c r="O39" s="9"/>
      <c r="P39" s="23"/>
      <c r="Q39" s="9"/>
      <c r="R39" s="24"/>
      <c r="S39" s="23"/>
      <c r="T39" s="23"/>
      <c r="U39" s="24"/>
      <c r="V39" s="20">
        <f>IF($C39="","",IFERROR(INDEX('Référentiel'!$K$2:$K$83,MATCH($C39,'Référentiel'!$A$2:$A$83,0)),""))</f>
      </c>
      <c r="W39" s="20">
        <f>IF(AND(ISNUMBER($G39),$I39&lt;&gt;"Hors service",$I39&lt;&gt;"Location terminée"),$G39+ROW()/100000,"")</f>
      </c>
      <c r="X39" s="9"/>
    </row>
    <row r="40" spans="1:24" x14ac:dyDescent="0.25">
      <c r="A40" s="9"/>
      <c r="B40" s="9"/>
      <c r="C40" s="9"/>
      <c r="D40" s="9"/>
      <c r="E40" s="19">
        <f>IF($A40="","",IF(SUMPRODUCT(MAX((Vérifications!$B$2:$B$1001=$A40)*Vérifications!$L$2:$L$1001))=0,"",SUMPRODUCT(MAX((Vérifications!$B$2:$B$1001=$A40)*Vérifications!$L$2:$L$1001))))</f>
      </c>
      <c r="F40" s="20">
        <f>IF($E40="","",IFERROR(INDEX(Vérifications!$E$2:$E$1001,MATCH($A40&amp;"|"&amp;$E40,Vérifications!$M$2:$M$1001,0)),""))</f>
      </c>
      <c r="G40" s="19">
        <f>IF($N40="","",IF(ISNUMBER($E40),EDATE($E40,$N40),IF(AND(ISNUMBER($U40),IFERROR(INDEX('Référentiel'!$E$2:$E$83,MATCH($C40,'Référentiel'!$A$2:$A$83,0)),0)&gt;0),EDATE($U40,IFERROR(INDEX('Référentiel'!$E$2:$E$83,MATCH($C40,'Référentiel'!$A$2:$A$83,0)),0)),"")))</f>
      </c>
      <c r="H40" s="21">
        <f>IF(ISNUMBER($G40),$G40-TODAY(),"")</f>
      </c>
      <c r="I40" s="20">
        <f>IF(AND($A40="",$C40=""),"",IF($T40="Non","Hors service",IF(AND($Q40="Location",ISNUMBER($R40),$R40&lt;TODAY()),"Location terminée",IF(OR($F40="Mise à l'arrêt",IF($A40="",0,SUMPRODUCT((Réserves!$B$2:$B$301=$A40)*(Réserves!$E$2:$E$301="Mise à l'arrêt")*(Réserves!$J$2:$J$301&lt;&gt;"Levée")*(Réserves!$J$2:$J$301&lt;&gt;"")))&gt;0),"Arrêt : réserve à lever",IF($C40="","Type à choisir",IF($N40="","Périodicité à saisir",IF(OR(ISTEXT($U40),ISTEXT($R40)),"Date à corriger",IF(AND($E40="",$Q40="Location",$S40&lt;&gt;"Oui"),"Rapport loueur à obtenir",IF(NOT(ISNUMBER($G40)),"Vérif. initiale à tracer",IF($H40&lt;0,"En retard",IF(AND($Q40="Location",$S40&lt;&gt;"Oui"),"Rapport loueur à obtenir",IF($H40&lt;='Tableau de bord'!$C$4,"À planifier","À jour"))))))))))))</f>
      </c>
      <c r="J40" s="22">
        <f>IF($A40="","",COUNTIFS(Réserves!$B$2:$B$301,$A40,Réserves!$J$2:$J$301,"Ouverte")+COUNTIFS(Réserves!$B$2:$B$301,$A40,Réserves!$J$2:$J$301,"En retard"))</f>
      </c>
      <c r="K40" s="20">
        <f>IF($C40="","",IFERROR(INDEX('Référentiel'!$B$2:$B$83,MATCH($C40,'Référentiel'!$A$2:$A$83,0)),"Type hors liste"))</f>
      </c>
      <c r="L40" s="22">
        <f>IF($C40="","",IF(IFERROR(INDEX('Référentiel'!$C$2:$C$83,MATCH($C40,'Référentiel'!$A$2:$A$83,0)),0)=0,"",IFERROR(INDEX('Référentiel'!$C$2:$C$83,MATCH($C40,'Référentiel'!$A$2:$A$83,0)),0)))</f>
      </c>
      <c r="M40" s="23"/>
      <c r="N40" s="22">
        <f>IF($C40="","",IF(IF($M40&lt;&gt;"",IF($L40&lt;&gt;"",MIN($L40,$M40),$M40),IF($L40&lt;&gt;"",$L40,IF(IFERROR(INDEX('Référentiel'!$D$2:$D$83,MATCH($C40,'Référentiel'!$A$2:$A$83,0)),0)&gt;0,IFERROR(INDEX('Référentiel'!$D$2:$D$83,MATCH($C40,'Référentiel'!$A$2:$A$83,0)),0),"")))="","",IF(AND(IFERROR(INDEX('Référentiel'!$F$2:$F$83,MATCH($C40,'Référentiel'!$A$2:$A$83,0)),0)&gt;0,N($J40)&gt;0),MIN(IF($M40&lt;&gt;"",IF($L40&lt;&gt;"",MIN($L40,$M40),$M40),IF($L40&lt;&gt;"",$L40,IF(IFERROR(INDEX('Référentiel'!$D$2:$D$83,MATCH($C40,'Référentiel'!$A$2:$A$83,0)),0)&gt;0,IFERROR(INDEX('Référentiel'!$D$2:$D$83,MATCH($C40,'Référentiel'!$A$2:$A$83,0)),0),""))),IFERROR(INDEX('Référentiel'!$F$2:$F$83,MATCH($C40,'Référentiel'!$A$2:$A$83,0)),0)),IF($M40&lt;&gt;"",IF($L40&lt;&gt;"",MIN($L40,$M40),$M40),IF($L40&lt;&gt;"",$L40,IF(IFERROR(INDEX('Référentiel'!$D$2:$D$83,MATCH($C40,'Référentiel'!$A$2:$A$83,0)),0)&gt;0,IFERROR(INDEX('Référentiel'!$D$2:$D$83,MATCH($C40,'Référentiel'!$A$2:$A$83,0)),0),""))))))</f>
      </c>
      <c r="O40" s="9"/>
      <c r="P40" s="23"/>
      <c r="Q40" s="9"/>
      <c r="R40" s="24"/>
      <c r="S40" s="23"/>
      <c r="T40" s="23"/>
      <c r="U40" s="24"/>
      <c r="V40" s="20">
        <f>IF($C40="","",IFERROR(INDEX('Référentiel'!$K$2:$K$83,MATCH($C40,'Référentiel'!$A$2:$A$83,0)),""))</f>
      </c>
      <c r="W40" s="20">
        <f>IF(AND(ISNUMBER($G40),$I40&lt;&gt;"Hors service",$I40&lt;&gt;"Location terminée"),$G40+ROW()/100000,"")</f>
      </c>
      <c r="X40" s="9"/>
    </row>
    <row r="41" spans="1:24" x14ac:dyDescent="0.25">
      <c r="A41" s="9"/>
      <c r="B41" s="9"/>
      <c r="C41" s="9"/>
      <c r="D41" s="9"/>
      <c r="E41" s="19">
        <f>IF($A41="","",IF(SUMPRODUCT(MAX((Vérifications!$B$2:$B$1001=$A41)*Vérifications!$L$2:$L$1001))=0,"",SUMPRODUCT(MAX((Vérifications!$B$2:$B$1001=$A41)*Vérifications!$L$2:$L$1001))))</f>
      </c>
      <c r="F41" s="20">
        <f>IF($E41="","",IFERROR(INDEX(Vérifications!$E$2:$E$1001,MATCH($A41&amp;"|"&amp;$E41,Vérifications!$M$2:$M$1001,0)),""))</f>
      </c>
      <c r="G41" s="19">
        <f>IF($N41="","",IF(ISNUMBER($E41),EDATE($E41,$N41),IF(AND(ISNUMBER($U41),IFERROR(INDEX('Référentiel'!$E$2:$E$83,MATCH($C41,'Référentiel'!$A$2:$A$83,0)),0)&gt;0),EDATE($U41,IFERROR(INDEX('Référentiel'!$E$2:$E$83,MATCH($C41,'Référentiel'!$A$2:$A$83,0)),0)),"")))</f>
      </c>
      <c r="H41" s="21">
        <f>IF(ISNUMBER($G41),$G41-TODAY(),"")</f>
      </c>
      <c r="I41" s="20">
        <f>IF(AND($A41="",$C41=""),"",IF($T41="Non","Hors service",IF(AND($Q41="Location",ISNUMBER($R41),$R41&lt;TODAY()),"Location terminée",IF(OR($F41="Mise à l'arrêt",IF($A41="",0,SUMPRODUCT((Réserves!$B$2:$B$301=$A41)*(Réserves!$E$2:$E$301="Mise à l'arrêt")*(Réserves!$J$2:$J$301&lt;&gt;"Levée")*(Réserves!$J$2:$J$301&lt;&gt;"")))&gt;0),"Arrêt : réserve à lever",IF($C41="","Type à choisir",IF($N41="","Périodicité à saisir",IF(OR(ISTEXT($U41),ISTEXT($R41)),"Date à corriger",IF(AND($E41="",$Q41="Location",$S41&lt;&gt;"Oui"),"Rapport loueur à obtenir",IF(NOT(ISNUMBER($G41)),"Vérif. initiale à tracer",IF($H41&lt;0,"En retard",IF(AND($Q41="Location",$S41&lt;&gt;"Oui"),"Rapport loueur à obtenir",IF($H41&lt;='Tableau de bord'!$C$4,"À planifier","À jour"))))))))))))</f>
      </c>
      <c r="J41" s="22">
        <f>IF($A41="","",COUNTIFS(Réserves!$B$2:$B$301,$A41,Réserves!$J$2:$J$301,"Ouverte")+COUNTIFS(Réserves!$B$2:$B$301,$A41,Réserves!$J$2:$J$301,"En retard"))</f>
      </c>
      <c r="K41" s="20">
        <f>IF($C41="","",IFERROR(INDEX('Référentiel'!$B$2:$B$83,MATCH($C41,'Référentiel'!$A$2:$A$83,0)),"Type hors liste"))</f>
      </c>
      <c r="L41" s="22">
        <f>IF($C41="","",IF(IFERROR(INDEX('Référentiel'!$C$2:$C$83,MATCH($C41,'Référentiel'!$A$2:$A$83,0)),0)=0,"",IFERROR(INDEX('Référentiel'!$C$2:$C$83,MATCH($C41,'Référentiel'!$A$2:$A$83,0)),0)))</f>
      </c>
      <c r="M41" s="23"/>
      <c r="N41" s="22">
        <f>IF($C41="","",IF(IF($M41&lt;&gt;"",IF($L41&lt;&gt;"",MIN($L41,$M41),$M41),IF($L41&lt;&gt;"",$L41,IF(IFERROR(INDEX('Référentiel'!$D$2:$D$83,MATCH($C41,'Référentiel'!$A$2:$A$83,0)),0)&gt;0,IFERROR(INDEX('Référentiel'!$D$2:$D$83,MATCH($C41,'Référentiel'!$A$2:$A$83,0)),0),"")))="","",IF(AND(IFERROR(INDEX('Référentiel'!$F$2:$F$83,MATCH($C41,'Référentiel'!$A$2:$A$83,0)),0)&gt;0,N($J41)&gt;0),MIN(IF($M41&lt;&gt;"",IF($L41&lt;&gt;"",MIN($L41,$M41),$M41),IF($L41&lt;&gt;"",$L41,IF(IFERROR(INDEX('Référentiel'!$D$2:$D$83,MATCH($C41,'Référentiel'!$A$2:$A$83,0)),0)&gt;0,IFERROR(INDEX('Référentiel'!$D$2:$D$83,MATCH($C41,'Référentiel'!$A$2:$A$83,0)),0),""))),IFERROR(INDEX('Référentiel'!$F$2:$F$83,MATCH($C41,'Référentiel'!$A$2:$A$83,0)),0)),IF($M41&lt;&gt;"",IF($L41&lt;&gt;"",MIN($L41,$M41),$M41),IF($L41&lt;&gt;"",$L41,IF(IFERROR(INDEX('Référentiel'!$D$2:$D$83,MATCH($C41,'Référentiel'!$A$2:$A$83,0)),0)&gt;0,IFERROR(INDEX('Référentiel'!$D$2:$D$83,MATCH($C41,'Référentiel'!$A$2:$A$83,0)),0),""))))))</f>
      </c>
      <c r="O41" s="9"/>
      <c r="P41" s="23"/>
      <c r="Q41" s="9"/>
      <c r="R41" s="24"/>
      <c r="S41" s="23"/>
      <c r="T41" s="23"/>
      <c r="U41" s="24"/>
      <c r="V41" s="20">
        <f>IF($C41="","",IFERROR(INDEX('Référentiel'!$K$2:$K$83,MATCH($C41,'Référentiel'!$A$2:$A$83,0)),""))</f>
      </c>
      <c r="W41" s="20">
        <f>IF(AND(ISNUMBER($G41),$I41&lt;&gt;"Hors service",$I41&lt;&gt;"Location terminée"),$G41+ROW()/100000,"")</f>
      </c>
      <c r="X41" s="9"/>
    </row>
    <row r="42" spans="1:24" x14ac:dyDescent="0.25">
      <c r="A42" s="9"/>
      <c r="B42" s="9"/>
      <c r="C42" s="9"/>
      <c r="D42" s="9"/>
      <c r="E42" s="19">
        <f>IF($A42="","",IF(SUMPRODUCT(MAX((Vérifications!$B$2:$B$1001=$A42)*Vérifications!$L$2:$L$1001))=0,"",SUMPRODUCT(MAX((Vérifications!$B$2:$B$1001=$A42)*Vérifications!$L$2:$L$1001))))</f>
      </c>
      <c r="F42" s="20">
        <f>IF($E42="","",IFERROR(INDEX(Vérifications!$E$2:$E$1001,MATCH($A42&amp;"|"&amp;$E42,Vérifications!$M$2:$M$1001,0)),""))</f>
      </c>
      <c r="G42" s="19">
        <f>IF($N42="","",IF(ISNUMBER($E42),EDATE($E42,$N42),IF(AND(ISNUMBER($U42),IFERROR(INDEX('Référentiel'!$E$2:$E$83,MATCH($C42,'Référentiel'!$A$2:$A$83,0)),0)&gt;0),EDATE($U42,IFERROR(INDEX('Référentiel'!$E$2:$E$83,MATCH($C42,'Référentiel'!$A$2:$A$83,0)),0)),"")))</f>
      </c>
      <c r="H42" s="21">
        <f>IF(ISNUMBER($G42),$G42-TODAY(),"")</f>
      </c>
      <c r="I42" s="20">
        <f>IF(AND($A42="",$C42=""),"",IF($T42="Non","Hors service",IF(AND($Q42="Location",ISNUMBER($R42),$R42&lt;TODAY()),"Location terminée",IF(OR($F42="Mise à l'arrêt",IF($A42="",0,SUMPRODUCT((Réserves!$B$2:$B$301=$A42)*(Réserves!$E$2:$E$301="Mise à l'arrêt")*(Réserves!$J$2:$J$301&lt;&gt;"Levée")*(Réserves!$J$2:$J$301&lt;&gt;"")))&gt;0),"Arrêt : réserve à lever",IF($C42="","Type à choisir",IF($N42="","Périodicité à saisir",IF(OR(ISTEXT($U42),ISTEXT($R42)),"Date à corriger",IF(AND($E42="",$Q42="Location",$S42&lt;&gt;"Oui"),"Rapport loueur à obtenir",IF(NOT(ISNUMBER($G42)),"Vérif. initiale à tracer",IF($H42&lt;0,"En retard",IF(AND($Q42="Location",$S42&lt;&gt;"Oui"),"Rapport loueur à obtenir",IF($H42&lt;='Tableau de bord'!$C$4,"À planifier","À jour"))))))))))))</f>
      </c>
      <c r="J42" s="22">
        <f>IF($A42="","",COUNTIFS(Réserves!$B$2:$B$301,$A42,Réserves!$J$2:$J$301,"Ouverte")+COUNTIFS(Réserves!$B$2:$B$301,$A42,Réserves!$J$2:$J$301,"En retard"))</f>
      </c>
      <c r="K42" s="20">
        <f>IF($C42="","",IFERROR(INDEX('Référentiel'!$B$2:$B$83,MATCH($C42,'Référentiel'!$A$2:$A$83,0)),"Type hors liste"))</f>
      </c>
      <c r="L42" s="22">
        <f>IF($C42="","",IF(IFERROR(INDEX('Référentiel'!$C$2:$C$83,MATCH($C42,'Référentiel'!$A$2:$A$83,0)),0)=0,"",IFERROR(INDEX('Référentiel'!$C$2:$C$83,MATCH($C42,'Référentiel'!$A$2:$A$83,0)),0)))</f>
      </c>
      <c r="M42" s="23"/>
      <c r="N42" s="22">
        <f>IF($C42="","",IF(IF($M42&lt;&gt;"",IF($L42&lt;&gt;"",MIN($L42,$M42),$M42),IF($L42&lt;&gt;"",$L42,IF(IFERROR(INDEX('Référentiel'!$D$2:$D$83,MATCH($C42,'Référentiel'!$A$2:$A$83,0)),0)&gt;0,IFERROR(INDEX('Référentiel'!$D$2:$D$83,MATCH($C42,'Référentiel'!$A$2:$A$83,0)),0),"")))="","",IF(AND(IFERROR(INDEX('Référentiel'!$F$2:$F$83,MATCH($C42,'Référentiel'!$A$2:$A$83,0)),0)&gt;0,N($J42)&gt;0),MIN(IF($M42&lt;&gt;"",IF($L42&lt;&gt;"",MIN($L42,$M42),$M42),IF($L42&lt;&gt;"",$L42,IF(IFERROR(INDEX('Référentiel'!$D$2:$D$83,MATCH($C42,'Référentiel'!$A$2:$A$83,0)),0)&gt;0,IFERROR(INDEX('Référentiel'!$D$2:$D$83,MATCH($C42,'Référentiel'!$A$2:$A$83,0)),0),""))),IFERROR(INDEX('Référentiel'!$F$2:$F$83,MATCH($C42,'Référentiel'!$A$2:$A$83,0)),0)),IF($M42&lt;&gt;"",IF($L42&lt;&gt;"",MIN($L42,$M42),$M42),IF($L42&lt;&gt;"",$L42,IF(IFERROR(INDEX('Référentiel'!$D$2:$D$83,MATCH($C42,'Référentiel'!$A$2:$A$83,0)),0)&gt;0,IFERROR(INDEX('Référentiel'!$D$2:$D$83,MATCH($C42,'Référentiel'!$A$2:$A$83,0)),0),""))))))</f>
      </c>
      <c r="O42" s="9"/>
      <c r="P42" s="23"/>
      <c r="Q42" s="9"/>
      <c r="R42" s="24"/>
      <c r="S42" s="23"/>
      <c r="T42" s="23"/>
      <c r="U42" s="24"/>
      <c r="V42" s="20">
        <f>IF($C42="","",IFERROR(INDEX('Référentiel'!$K$2:$K$83,MATCH($C42,'Référentiel'!$A$2:$A$83,0)),""))</f>
      </c>
      <c r="W42" s="20">
        <f>IF(AND(ISNUMBER($G42),$I42&lt;&gt;"Hors service",$I42&lt;&gt;"Location terminée"),$G42+ROW()/100000,"")</f>
      </c>
      <c r="X42" s="9"/>
    </row>
    <row r="43" spans="1:24" x14ac:dyDescent="0.25">
      <c r="A43" s="9"/>
      <c r="B43" s="9"/>
      <c r="C43" s="9"/>
      <c r="D43" s="9"/>
      <c r="E43" s="19">
        <f>IF($A43="","",IF(SUMPRODUCT(MAX((Vérifications!$B$2:$B$1001=$A43)*Vérifications!$L$2:$L$1001))=0,"",SUMPRODUCT(MAX((Vérifications!$B$2:$B$1001=$A43)*Vérifications!$L$2:$L$1001))))</f>
      </c>
      <c r="F43" s="20">
        <f>IF($E43="","",IFERROR(INDEX(Vérifications!$E$2:$E$1001,MATCH($A43&amp;"|"&amp;$E43,Vérifications!$M$2:$M$1001,0)),""))</f>
      </c>
      <c r="G43" s="19">
        <f>IF($N43="","",IF(ISNUMBER($E43),EDATE($E43,$N43),IF(AND(ISNUMBER($U43),IFERROR(INDEX('Référentiel'!$E$2:$E$83,MATCH($C43,'Référentiel'!$A$2:$A$83,0)),0)&gt;0),EDATE($U43,IFERROR(INDEX('Référentiel'!$E$2:$E$83,MATCH($C43,'Référentiel'!$A$2:$A$83,0)),0)),"")))</f>
      </c>
      <c r="H43" s="21">
        <f>IF(ISNUMBER($G43),$G43-TODAY(),"")</f>
      </c>
      <c r="I43" s="20">
        <f>IF(AND($A43="",$C43=""),"",IF($T43="Non","Hors service",IF(AND($Q43="Location",ISNUMBER($R43),$R43&lt;TODAY()),"Location terminée",IF(OR($F43="Mise à l'arrêt",IF($A43="",0,SUMPRODUCT((Réserves!$B$2:$B$301=$A43)*(Réserves!$E$2:$E$301="Mise à l'arrêt")*(Réserves!$J$2:$J$301&lt;&gt;"Levée")*(Réserves!$J$2:$J$301&lt;&gt;"")))&gt;0),"Arrêt : réserve à lever",IF($C43="","Type à choisir",IF($N43="","Périodicité à saisir",IF(OR(ISTEXT($U43),ISTEXT($R43)),"Date à corriger",IF(AND($E43="",$Q43="Location",$S43&lt;&gt;"Oui"),"Rapport loueur à obtenir",IF(NOT(ISNUMBER($G43)),"Vérif. initiale à tracer",IF($H43&lt;0,"En retard",IF(AND($Q43="Location",$S43&lt;&gt;"Oui"),"Rapport loueur à obtenir",IF($H43&lt;='Tableau de bord'!$C$4,"À planifier","À jour"))))))))))))</f>
      </c>
      <c r="J43" s="22">
        <f>IF($A43="","",COUNTIFS(Réserves!$B$2:$B$301,$A43,Réserves!$J$2:$J$301,"Ouverte")+COUNTIFS(Réserves!$B$2:$B$301,$A43,Réserves!$J$2:$J$301,"En retard"))</f>
      </c>
      <c r="K43" s="20">
        <f>IF($C43="","",IFERROR(INDEX('Référentiel'!$B$2:$B$83,MATCH($C43,'Référentiel'!$A$2:$A$83,0)),"Type hors liste"))</f>
      </c>
      <c r="L43" s="22">
        <f>IF($C43="","",IF(IFERROR(INDEX('Référentiel'!$C$2:$C$83,MATCH($C43,'Référentiel'!$A$2:$A$83,0)),0)=0,"",IFERROR(INDEX('Référentiel'!$C$2:$C$83,MATCH($C43,'Référentiel'!$A$2:$A$83,0)),0)))</f>
      </c>
      <c r="M43" s="23"/>
      <c r="N43" s="22">
        <f>IF($C43="","",IF(IF($M43&lt;&gt;"",IF($L43&lt;&gt;"",MIN($L43,$M43),$M43),IF($L43&lt;&gt;"",$L43,IF(IFERROR(INDEX('Référentiel'!$D$2:$D$83,MATCH($C43,'Référentiel'!$A$2:$A$83,0)),0)&gt;0,IFERROR(INDEX('Référentiel'!$D$2:$D$83,MATCH($C43,'Référentiel'!$A$2:$A$83,0)),0),"")))="","",IF(AND(IFERROR(INDEX('Référentiel'!$F$2:$F$83,MATCH($C43,'Référentiel'!$A$2:$A$83,0)),0)&gt;0,N($J43)&gt;0),MIN(IF($M43&lt;&gt;"",IF($L43&lt;&gt;"",MIN($L43,$M43),$M43),IF($L43&lt;&gt;"",$L43,IF(IFERROR(INDEX('Référentiel'!$D$2:$D$83,MATCH($C43,'Référentiel'!$A$2:$A$83,0)),0)&gt;0,IFERROR(INDEX('Référentiel'!$D$2:$D$83,MATCH($C43,'Référentiel'!$A$2:$A$83,0)),0),""))),IFERROR(INDEX('Référentiel'!$F$2:$F$83,MATCH($C43,'Référentiel'!$A$2:$A$83,0)),0)),IF($M43&lt;&gt;"",IF($L43&lt;&gt;"",MIN($L43,$M43),$M43),IF($L43&lt;&gt;"",$L43,IF(IFERROR(INDEX('Référentiel'!$D$2:$D$83,MATCH($C43,'Référentiel'!$A$2:$A$83,0)),0)&gt;0,IFERROR(INDEX('Référentiel'!$D$2:$D$83,MATCH($C43,'Référentiel'!$A$2:$A$83,0)),0),""))))))</f>
      </c>
      <c r="O43" s="9"/>
      <c r="P43" s="23"/>
      <c r="Q43" s="9"/>
      <c r="R43" s="24"/>
      <c r="S43" s="23"/>
      <c r="T43" s="23"/>
      <c r="U43" s="24"/>
      <c r="V43" s="20">
        <f>IF($C43="","",IFERROR(INDEX('Référentiel'!$K$2:$K$83,MATCH($C43,'Référentiel'!$A$2:$A$83,0)),""))</f>
      </c>
      <c r="W43" s="20">
        <f>IF(AND(ISNUMBER($G43),$I43&lt;&gt;"Hors service",$I43&lt;&gt;"Location terminée"),$G43+ROW()/100000,"")</f>
      </c>
      <c r="X43" s="9"/>
    </row>
    <row r="44" spans="1:24" x14ac:dyDescent="0.25">
      <c r="A44" s="9"/>
      <c r="B44" s="9"/>
      <c r="C44" s="9"/>
      <c r="D44" s="9"/>
      <c r="E44" s="19">
        <f>IF($A44="","",IF(SUMPRODUCT(MAX((Vérifications!$B$2:$B$1001=$A44)*Vérifications!$L$2:$L$1001))=0,"",SUMPRODUCT(MAX((Vérifications!$B$2:$B$1001=$A44)*Vérifications!$L$2:$L$1001))))</f>
      </c>
      <c r="F44" s="20">
        <f>IF($E44="","",IFERROR(INDEX(Vérifications!$E$2:$E$1001,MATCH($A44&amp;"|"&amp;$E44,Vérifications!$M$2:$M$1001,0)),""))</f>
      </c>
      <c r="G44" s="19">
        <f>IF($N44="","",IF(ISNUMBER($E44),EDATE($E44,$N44),IF(AND(ISNUMBER($U44),IFERROR(INDEX('Référentiel'!$E$2:$E$83,MATCH($C44,'Référentiel'!$A$2:$A$83,0)),0)&gt;0),EDATE($U44,IFERROR(INDEX('Référentiel'!$E$2:$E$83,MATCH($C44,'Référentiel'!$A$2:$A$83,0)),0)),"")))</f>
      </c>
      <c r="H44" s="21">
        <f>IF(ISNUMBER($G44),$G44-TODAY(),"")</f>
      </c>
      <c r="I44" s="20">
        <f>IF(AND($A44="",$C44=""),"",IF($T44="Non","Hors service",IF(AND($Q44="Location",ISNUMBER($R44),$R44&lt;TODAY()),"Location terminée",IF(OR($F44="Mise à l'arrêt",IF($A44="",0,SUMPRODUCT((Réserves!$B$2:$B$301=$A44)*(Réserves!$E$2:$E$301="Mise à l'arrêt")*(Réserves!$J$2:$J$301&lt;&gt;"Levée")*(Réserves!$J$2:$J$301&lt;&gt;"")))&gt;0),"Arrêt : réserve à lever",IF($C44="","Type à choisir",IF($N44="","Périodicité à saisir",IF(OR(ISTEXT($U44),ISTEXT($R44)),"Date à corriger",IF(AND($E44="",$Q44="Location",$S44&lt;&gt;"Oui"),"Rapport loueur à obtenir",IF(NOT(ISNUMBER($G44)),"Vérif. initiale à tracer",IF($H44&lt;0,"En retard",IF(AND($Q44="Location",$S44&lt;&gt;"Oui"),"Rapport loueur à obtenir",IF($H44&lt;='Tableau de bord'!$C$4,"À planifier","À jour"))))))))))))</f>
      </c>
      <c r="J44" s="22">
        <f>IF($A44="","",COUNTIFS(Réserves!$B$2:$B$301,$A44,Réserves!$J$2:$J$301,"Ouverte")+COUNTIFS(Réserves!$B$2:$B$301,$A44,Réserves!$J$2:$J$301,"En retard"))</f>
      </c>
      <c r="K44" s="20">
        <f>IF($C44="","",IFERROR(INDEX('Référentiel'!$B$2:$B$83,MATCH($C44,'Référentiel'!$A$2:$A$83,0)),"Type hors liste"))</f>
      </c>
      <c r="L44" s="22">
        <f>IF($C44="","",IF(IFERROR(INDEX('Référentiel'!$C$2:$C$83,MATCH($C44,'Référentiel'!$A$2:$A$83,0)),0)=0,"",IFERROR(INDEX('Référentiel'!$C$2:$C$83,MATCH($C44,'Référentiel'!$A$2:$A$83,0)),0)))</f>
      </c>
      <c r="M44" s="23"/>
      <c r="N44" s="22">
        <f>IF($C44="","",IF(IF($M44&lt;&gt;"",IF($L44&lt;&gt;"",MIN($L44,$M44),$M44),IF($L44&lt;&gt;"",$L44,IF(IFERROR(INDEX('Référentiel'!$D$2:$D$83,MATCH($C44,'Référentiel'!$A$2:$A$83,0)),0)&gt;0,IFERROR(INDEX('Référentiel'!$D$2:$D$83,MATCH($C44,'Référentiel'!$A$2:$A$83,0)),0),"")))="","",IF(AND(IFERROR(INDEX('Référentiel'!$F$2:$F$83,MATCH($C44,'Référentiel'!$A$2:$A$83,0)),0)&gt;0,N($J44)&gt;0),MIN(IF($M44&lt;&gt;"",IF($L44&lt;&gt;"",MIN($L44,$M44),$M44),IF($L44&lt;&gt;"",$L44,IF(IFERROR(INDEX('Référentiel'!$D$2:$D$83,MATCH($C44,'Référentiel'!$A$2:$A$83,0)),0)&gt;0,IFERROR(INDEX('Référentiel'!$D$2:$D$83,MATCH($C44,'Référentiel'!$A$2:$A$83,0)),0),""))),IFERROR(INDEX('Référentiel'!$F$2:$F$83,MATCH($C44,'Référentiel'!$A$2:$A$83,0)),0)),IF($M44&lt;&gt;"",IF($L44&lt;&gt;"",MIN($L44,$M44),$M44),IF($L44&lt;&gt;"",$L44,IF(IFERROR(INDEX('Référentiel'!$D$2:$D$83,MATCH($C44,'Référentiel'!$A$2:$A$83,0)),0)&gt;0,IFERROR(INDEX('Référentiel'!$D$2:$D$83,MATCH($C44,'Référentiel'!$A$2:$A$83,0)),0),""))))))</f>
      </c>
      <c r="O44" s="9"/>
      <c r="P44" s="23"/>
      <c r="Q44" s="9"/>
      <c r="R44" s="24"/>
      <c r="S44" s="23"/>
      <c r="T44" s="23"/>
      <c r="U44" s="24"/>
      <c r="V44" s="20">
        <f>IF($C44="","",IFERROR(INDEX('Référentiel'!$K$2:$K$83,MATCH($C44,'Référentiel'!$A$2:$A$83,0)),""))</f>
      </c>
      <c r="W44" s="20">
        <f>IF(AND(ISNUMBER($G44),$I44&lt;&gt;"Hors service",$I44&lt;&gt;"Location terminée"),$G44+ROW()/100000,"")</f>
      </c>
      <c r="X44" s="9"/>
    </row>
    <row r="45" spans="1:24" x14ac:dyDescent="0.25">
      <c r="A45" s="9"/>
      <c r="B45" s="9"/>
      <c r="C45" s="9"/>
      <c r="D45" s="9"/>
      <c r="E45" s="19">
        <f>IF($A45="","",IF(SUMPRODUCT(MAX((Vérifications!$B$2:$B$1001=$A45)*Vérifications!$L$2:$L$1001))=0,"",SUMPRODUCT(MAX((Vérifications!$B$2:$B$1001=$A45)*Vérifications!$L$2:$L$1001))))</f>
      </c>
      <c r="F45" s="20">
        <f>IF($E45="","",IFERROR(INDEX(Vérifications!$E$2:$E$1001,MATCH($A45&amp;"|"&amp;$E45,Vérifications!$M$2:$M$1001,0)),""))</f>
      </c>
      <c r="G45" s="19">
        <f>IF($N45="","",IF(ISNUMBER($E45),EDATE($E45,$N45),IF(AND(ISNUMBER($U45),IFERROR(INDEX('Référentiel'!$E$2:$E$83,MATCH($C45,'Référentiel'!$A$2:$A$83,0)),0)&gt;0),EDATE($U45,IFERROR(INDEX('Référentiel'!$E$2:$E$83,MATCH($C45,'Référentiel'!$A$2:$A$83,0)),0)),"")))</f>
      </c>
      <c r="H45" s="21">
        <f>IF(ISNUMBER($G45),$G45-TODAY(),"")</f>
      </c>
      <c r="I45" s="20">
        <f>IF(AND($A45="",$C45=""),"",IF($T45="Non","Hors service",IF(AND($Q45="Location",ISNUMBER($R45),$R45&lt;TODAY()),"Location terminée",IF(OR($F45="Mise à l'arrêt",IF($A45="",0,SUMPRODUCT((Réserves!$B$2:$B$301=$A45)*(Réserves!$E$2:$E$301="Mise à l'arrêt")*(Réserves!$J$2:$J$301&lt;&gt;"Levée")*(Réserves!$J$2:$J$301&lt;&gt;"")))&gt;0),"Arrêt : réserve à lever",IF($C45="","Type à choisir",IF($N45="","Périodicité à saisir",IF(OR(ISTEXT($U45),ISTEXT($R45)),"Date à corriger",IF(AND($E45="",$Q45="Location",$S45&lt;&gt;"Oui"),"Rapport loueur à obtenir",IF(NOT(ISNUMBER($G45)),"Vérif. initiale à tracer",IF($H45&lt;0,"En retard",IF(AND($Q45="Location",$S45&lt;&gt;"Oui"),"Rapport loueur à obtenir",IF($H45&lt;='Tableau de bord'!$C$4,"À planifier","À jour"))))))))))))</f>
      </c>
      <c r="J45" s="22">
        <f>IF($A45="","",COUNTIFS(Réserves!$B$2:$B$301,$A45,Réserves!$J$2:$J$301,"Ouverte")+COUNTIFS(Réserves!$B$2:$B$301,$A45,Réserves!$J$2:$J$301,"En retard"))</f>
      </c>
      <c r="K45" s="20">
        <f>IF($C45="","",IFERROR(INDEX('Référentiel'!$B$2:$B$83,MATCH($C45,'Référentiel'!$A$2:$A$83,0)),"Type hors liste"))</f>
      </c>
      <c r="L45" s="22">
        <f>IF($C45="","",IF(IFERROR(INDEX('Référentiel'!$C$2:$C$83,MATCH($C45,'Référentiel'!$A$2:$A$83,0)),0)=0,"",IFERROR(INDEX('Référentiel'!$C$2:$C$83,MATCH($C45,'Référentiel'!$A$2:$A$83,0)),0)))</f>
      </c>
      <c r="M45" s="23"/>
      <c r="N45" s="22">
        <f>IF($C45="","",IF(IF($M45&lt;&gt;"",IF($L45&lt;&gt;"",MIN($L45,$M45),$M45),IF($L45&lt;&gt;"",$L45,IF(IFERROR(INDEX('Référentiel'!$D$2:$D$83,MATCH($C45,'Référentiel'!$A$2:$A$83,0)),0)&gt;0,IFERROR(INDEX('Référentiel'!$D$2:$D$83,MATCH($C45,'Référentiel'!$A$2:$A$83,0)),0),"")))="","",IF(AND(IFERROR(INDEX('Référentiel'!$F$2:$F$83,MATCH($C45,'Référentiel'!$A$2:$A$83,0)),0)&gt;0,N($J45)&gt;0),MIN(IF($M45&lt;&gt;"",IF($L45&lt;&gt;"",MIN($L45,$M45),$M45),IF($L45&lt;&gt;"",$L45,IF(IFERROR(INDEX('Référentiel'!$D$2:$D$83,MATCH($C45,'Référentiel'!$A$2:$A$83,0)),0)&gt;0,IFERROR(INDEX('Référentiel'!$D$2:$D$83,MATCH($C45,'Référentiel'!$A$2:$A$83,0)),0),""))),IFERROR(INDEX('Référentiel'!$F$2:$F$83,MATCH($C45,'Référentiel'!$A$2:$A$83,0)),0)),IF($M45&lt;&gt;"",IF($L45&lt;&gt;"",MIN($L45,$M45),$M45),IF($L45&lt;&gt;"",$L45,IF(IFERROR(INDEX('Référentiel'!$D$2:$D$83,MATCH($C45,'Référentiel'!$A$2:$A$83,0)),0)&gt;0,IFERROR(INDEX('Référentiel'!$D$2:$D$83,MATCH($C45,'Référentiel'!$A$2:$A$83,0)),0),""))))))</f>
      </c>
      <c r="O45" s="9"/>
      <c r="P45" s="23"/>
      <c r="Q45" s="9"/>
      <c r="R45" s="24"/>
      <c r="S45" s="23"/>
      <c r="T45" s="23"/>
      <c r="U45" s="24"/>
      <c r="V45" s="20">
        <f>IF($C45="","",IFERROR(INDEX('Référentiel'!$K$2:$K$83,MATCH($C45,'Référentiel'!$A$2:$A$83,0)),""))</f>
      </c>
      <c r="W45" s="20">
        <f>IF(AND(ISNUMBER($G45),$I45&lt;&gt;"Hors service",$I45&lt;&gt;"Location terminée"),$G45+ROW()/100000,"")</f>
      </c>
      <c r="X45" s="9"/>
    </row>
    <row r="46" spans="1:24" x14ac:dyDescent="0.25">
      <c r="A46" s="9"/>
      <c r="B46" s="9"/>
      <c r="C46" s="9"/>
      <c r="D46" s="9"/>
      <c r="E46" s="19">
        <f>IF($A46="","",IF(SUMPRODUCT(MAX((Vérifications!$B$2:$B$1001=$A46)*Vérifications!$L$2:$L$1001))=0,"",SUMPRODUCT(MAX((Vérifications!$B$2:$B$1001=$A46)*Vérifications!$L$2:$L$1001))))</f>
      </c>
      <c r="F46" s="20">
        <f>IF($E46="","",IFERROR(INDEX(Vérifications!$E$2:$E$1001,MATCH($A46&amp;"|"&amp;$E46,Vérifications!$M$2:$M$1001,0)),""))</f>
      </c>
      <c r="G46" s="19">
        <f>IF($N46="","",IF(ISNUMBER($E46),EDATE($E46,$N46),IF(AND(ISNUMBER($U46),IFERROR(INDEX('Référentiel'!$E$2:$E$83,MATCH($C46,'Référentiel'!$A$2:$A$83,0)),0)&gt;0),EDATE($U46,IFERROR(INDEX('Référentiel'!$E$2:$E$83,MATCH($C46,'Référentiel'!$A$2:$A$83,0)),0)),"")))</f>
      </c>
      <c r="H46" s="21">
        <f>IF(ISNUMBER($G46),$G46-TODAY(),"")</f>
      </c>
      <c r="I46" s="20">
        <f>IF(AND($A46="",$C46=""),"",IF($T46="Non","Hors service",IF(AND($Q46="Location",ISNUMBER($R46),$R46&lt;TODAY()),"Location terminée",IF(OR($F46="Mise à l'arrêt",IF($A46="",0,SUMPRODUCT((Réserves!$B$2:$B$301=$A46)*(Réserves!$E$2:$E$301="Mise à l'arrêt")*(Réserves!$J$2:$J$301&lt;&gt;"Levée")*(Réserves!$J$2:$J$301&lt;&gt;"")))&gt;0),"Arrêt : réserve à lever",IF($C46="","Type à choisir",IF($N46="","Périodicité à saisir",IF(OR(ISTEXT($U46),ISTEXT($R46)),"Date à corriger",IF(AND($E46="",$Q46="Location",$S46&lt;&gt;"Oui"),"Rapport loueur à obtenir",IF(NOT(ISNUMBER($G46)),"Vérif. initiale à tracer",IF($H46&lt;0,"En retard",IF(AND($Q46="Location",$S46&lt;&gt;"Oui"),"Rapport loueur à obtenir",IF($H46&lt;='Tableau de bord'!$C$4,"À planifier","À jour"))))))))))))</f>
      </c>
      <c r="J46" s="22">
        <f>IF($A46="","",COUNTIFS(Réserves!$B$2:$B$301,$A46,Réserves!$J$2:$J$301,"Ouverte")+COUNTIFS(Réserves!$B$2:$B$301,$A46,Réserves!$J$2:$J$301,"En retard"))</f>
      </c>
      <c r="K46" s="20">
        <f>IF($C46="","",IFERROR(INDEX('Référentiel'!$B$2:$B$83,MATCH($C46,'Référentiel'!$A$2:$A$83,0)),"Type hors liste"))</f>
      </c>
      <c r="L46" s="22">
        <f>IF($C46="","",IF(IFERROR(INDEX('Référentiel'!$C$2:$C$83,MATCH($C46,'Référentiel'!$A$2:$A$83,0)),0)=0,"",IFERROR(INDEX('Référentiel'!$C$2:$C$83,MATCH($C46,'Référentiel'!$A$2:$A$83,0)),0)))</f>
      </c>
      <c r="M46" s="23"/>
      <c r="N46" s="22">
        <f>IF($C46="","",IF(IF($M46&lt;&gt;"",IF($L46&lt;&gt;"",MIN($L46,$M46),$M46),IF($L46&lt;&gt;"",$L46,IF(IFERROR(INDEX('Référentiel'!$D$2:$D$83,MATCH($C46,'Référentiel'!$A$2:$A$83,0)),0)&gt;0,IFERROR(INDEX('Référentiel'!$D$2:$D$83,MATCH($C46,'Référentiel'!$A$2:$A$83,0)),0),"")))="","",IF(AND(IFERROR(INDEX('Référentiel'!$F$2:$F$83,MATCH($C46,'Référentiel'!$A$2:$A$83,0)),0)&gt;0,N($J46)&gt;0),MIN(IF($M46&lt;&gt;"",IF($L46&lt;&gt;"",MIN($L46,$M46),$M46),IF($L46&lt;&gt;"",$L46,IF(IFERROR(INDEX('Référentiel'!$D$2:$D$83,MATCH($C46,'Référentiel'!$A$2:$A$83,0)),0)&gt;0,IFERROR(INDEX('Référentiel'!$D$2:$D$83,MATCH($C46,'Référentiel'!$A$2:$A$83,0)),0),""))),IFERROR(INDEX('Référentiel'!$F$2:$F$83,MATCH($C46,'Référentiel'!$A$2:$A$83,0)),0)),IF($M46&lt;&gt;"",IF($L46&lt;&gt;"",MIN($L46,$M46),$M46),IF($L46&lt;&gt;"",$L46,IF(IFERROR(INDEX('Référentiel'!$D$2:$D$83,MATCH($C46,'Référentiel'!$A$2:$A$83,0)),0)&gt;0,IFERROR(INDEX('Référentiel'!$D$2:$D$83,MATCH($C46,'Référentiel'!$A$2:$A$83,0)),0),""))))))</f>
      </c>
      <c r="O46" s="9"/>
      <c r="P46" s="23"/>
      <c r="Q46" s="9"/>
      <c r="R46" s="24"/>
      <c r="S46" s="23"/>
      <c r="T46" s="23"/>
      <c r="U46" s="24"/>
      <c r="V46" s="20">
        <f>IF($C46="","",IFERROR(INDEX('Référentiel'!$K$2:$K$83,MATCH($C46,'Référentiel'!$A$2:$A$83,0)),""))</f>
      </c>
      <c r="W46" s="20">
        <f>IF(AND(ISNUMBER($G46),$I46&lt;&gt;"Hors service",$I46&lt;&gt;"Location terminée"),$G46+ROW()/100000,"")</f>
      </c>
      <c r="X46" s="9"/>
    </row>
    <row r="47" spans="1:24" x14ac:dyDescent="0.25">
      <c r="A47" s="9"/>
      <c r="B47" s="9"/>
      <c r="C47" s="9"/>
      <c r="D47" s="9"/>
      <c r="E47" s="19">
        <f>IF($A47="","",IF(SUMPRODUCT(MAX((Vérifications!$B$2:$B$1001=$A47)*Vérifications!$L$2:$L$1001))=0,"",SUMPRODUCT(MAX((Vérifications!$B$2:$B$1001=$A47)*Vérifications!$L$2:$L$1001))))</f>
      </c>
      <c r="F47" s="20">
        <f>IF($E47="","",IFERROR(INDEX(Vérifications!$E$2:$E$1001,MATCH($A47&amp;"|"&amp;$E47,Vérifications!$M$2:$M$1001,0)),""))</f>
      </c>
      <c r="G47" s="19">
        <f>IF($N47="","",IF(ISNUMBER($E47),EDATE($E47,$N47),IF(AND(ISNUMBER($U47),IFERROR(INDEX('Référentiel'!$E$2:$E$83,MATCH($C47,'Référentiel'!$A$2:$A$83,0)),0)&gt;0),EDATE($U47,IFERROR(INDEX('Référentiel'!$E$2:$E$83,MATCH($C47,'Référentiel'!$A$2:$A$83,0)),0)),"")))</f>
      </c>
      <c r="H47" s="21">
        <f>IF(ISNUMBER($G47),$G47-TODAY(),"")</f>
      </c>
      <c r="I47" s="20">
        <f>IF(AND($A47="",$C47=""),"",IF($T47="Non","Hors service",IF(AND($Q47="Location",ISNUMBER($R47),$R47&lt;TODAY()),"Location terminée",IF(OR($F47="Mise à l'arrêt",IF($A47="",0,SUMPRODUCT((Réserves!$B$2:$B$301=$A47)*(Réserves!$E$2:$E$301="Mise à l'arrêt")*(Réserves!$J$2:$J$301&lt;&gt;"Levée")*(Réserves!$J$2:$J$301&lt;&gt;"")))&gt;0),"Arrêt : réserve à lever",IF($C47="","Type à choisir",IF($N47="","Périodicité à saisir",IF(OR(ISTEXT($U47),ISTEXT($R47)),"Date à corriger",IF(AND($E47="",$Q47="Location",$S47&lt;&gt;"Oui"),"Rapport loueur à obtenir",IF(NOT(ISNUMBER($G47)),"Vérif. initiale à tracer",IF($H47&lt;0,"En retard",IF(AND($Q47="Location",$S47&lt;&gt;"Oui"),"Rapport loueur à obtenir",IF($H47&lt;='Tableau de bord'!$C$4,"À planifier","À jour"))))))))))))</f>
      </c>
      <c r="J47" s="22">
        <f>IF($A47="","",COUNTIFS(Réserves!$B$2:$B$301,$A47,Réserves!$J$2:$J$301,"Ouverte")+COUNTIFS(Réserves!$B$2:$B$301,$A47,Réserves!$J$2:$J$301,"En retard"))</f>
      </c>
      <c r="K47" s="20">
        <f>IF($C47="","",IFERROR(INDEX('Référentiel'!$B$2:$B$83,MATCH($C47,'Référentiel'!$A$2:$A$83,0)),"Type hors liste"))</f>
      </c>
      <c r="L47" s="22">
        <f>IF($C47="","",IF(IFERROR(INDEX('Référentiel'!$C$2:$C$83,MATCH($C47,'Référentiel'!$A$2:$A$83,0)),0)=0,"",IFERROR(INDEX('Référentiel'!$C$2:$C$83,MATCH($C47,'Référentiel'!$A$2:$A$83,0)),0)))</f>
      </c>
      <c r="M47" s="23"/>
      <c r="N47" s="22">
        <f>IF($C47="","",IF(IF($M47&lt;&gt;"",IF($L47&lt;&gt;"",MIN($L47,$M47),$M47),IF($L47&lt;&gt;"",$L47,IF(IFERROR(INDEX('Référentiel'!$D$2:$D$83,MATCH($C47,'Référentiel'!$A$2:$A$83,0)),0)&gt;0,IFERROR(INDEX('Référentiel'!$D$2:$D$83,MATCH($C47,'Référentiel'!$A$2:$A$83,0)),0),"")))="","",IF(AND(IFERROR(INDEX('Référentiel'!$F$2:$F$83,MATCH($C47,'Référentiel'!$A$2:$A$83,0)),0)&gt;0,N($J47)&gt;0),MIN(IF($M47&lt;&gt;"",IF($L47&lt;&gt;"",MIN($L47,$M47),$M47),IF($L47&lt;&gt;"",$L47,IF(IFERROR(INDEX('Référentiel'!$D$2:$D$83,MATCH($C47,'Référentiel'!$A$2:$A$83,0)),0)&gt;0,IFERROR(INDEX('Référentiel'!$D$2:$D$83,MATCH($C47,'Référentiel'!$A$2:$A$83,0)),0),""))),IFERROR(INDEX('Référentiel'!$F$2:$F$83,MATCH($C47,'Référentiel'!$A$2:$A$83,0)),0)),IF($M47&lt;&gt;"",IF($L47&lt;&gt;"",MIN($L47,$M47),$M47),IF($L47&lt;&gt;"",$L47,IF(IFERROR(INDEX('Référentiel'!$D$2:$D$83,MATCH($C47,'Référentiel'!$A$2:$A$83,0)),0)&gt;0,IFERROR(INDEX('Référentiel'!$D$2:$D$83,MATCH($C47,'Référentiel'!$A$2:$A$83,0)),0),""))))))</f>
      </c>
      <c r="O47" s="9"/>
      <c r="P47" s="23"/>
      <c r="Q47" s="9"/>
      <c r="R47" s="24"/>
      <c r="S47" s="23"/>
      <c r="T47" s="23"/>
      <c r="U47" s="24"/>
      <c r="V47" s="20">
        <f>IF($C47="","",IFERROR(INDEX('Référentiel'!$K$2:$K$83,MATCH($C47,'Référentiel'!$A$2:$A$83,0)),""))</f>
      </c>
      <c r="W47" s="20">
        <f>IF(AND(ISNUMBER($G47),$I47&lt;&gt;"Hors service",$I47&lt;&gt;"Location terminée"),$G47+ROW()/100000,"")</f>
      </c>
      <c r="X47" s="9"/>
    </row>
    <row r="48" spans="1:24" x14ac:dyDescent="0.25">
      <c r="A48" s="9"/>
      <c r="B48" s="9"/>
      <c r="C48" s="9"/>
      <c r="D48" s="9"/>
      <c r="E48" s="19">
        <f>IF($A48="","",IF(SUMPRODUCT(MAX((Vérifications!$B$2:$B$1001=$A48)*Vérifications!$L$2:$L$1001))=0,"",SUMPRODUCT(MAX((Vérifications!$B$2:$B$1001=$A48)*Vérifications!$L$2:$L$1001))))</f>
      </c>
      <c r="F48" s="20">
        <f>IF($E48="","",IFERROR(INDEX(Vérifications!$E$2:$E$1001,MATCH($A48&amp;"|"&amp;$E48,Vérifications!$M$2:$M$1001,0)),""))</f>
      </c>
      <c r="G48" s="19">
        <f>IF($N48="","",IF(ISNUMBER($E48),EDATE($E48,$N48),IF(AND(ISNUMBER($U48),IFERROR(INDEX('Référentiel'!$E$2:$E$83,MATCH($C48,'Référentiel'!$A$2:$A$83,0)),0)&gt;0),EDATE($U48,IFERROR(INDEX('Référentiel'!$E$2:$E$83,MATCH($C48,'Référentiel'!$A$2:$A$83,0)),0)),"")))</f>
      </c>
      <c r="H48" s="21">
        <f>IF(ISNUMBER($G48),$G48-TODAY(),"")</f>
      </c>
      <c r="I48" s="20">
        <f>IF(AND($A48="",$C48=""),"",IF($T48="Non","Hors service",IF(AND($Q48="Location",ISNUMBER($R48),$R48&lt;TODAY()),"Location terminée",IF(OR($F48="Mise à l'arrêt",IF($A48="",0,SUMPRODUCT((Réserves!$B$2:$B$301=$A48)*(Réserves!$E$2:$E$301="Mise à l'arrêt")*(Réserves!$J$2:$J$301&lt;&gt;"Levée")*(Réserves!$J$2:$J$301&lt;&gt;"")))&gt;0),"Arrêt : réserve à lever",IF($C48="","Type à choisir",IF($N48="","Périodicité à saisir",IF(OR(ISTEXT($U48),ISTEXT($R48)),"Date à corriger",IF(AND($E48="",$Q48="Location",$S48&lt;&gt;"Oui"),"Rapport loueur à obtenir",IF(NOT(ISNUMBER($G48)),"Vérif. initiale à tracer",IF($H48&lt;0,"En retard",IF(AND($Q48="Location",$S48&lt;&gt;"Oui"),"Rapport loueur à obtenir",IF($H48&lt;='Tableau de bord'!$C$4,"À planifier","À jour"))))))))))))</f>
      </c>
      <c r="J48" s="22">
        <f>IF($A48="","",COUNTIFS(Réserves!$B$2:$B$301,$A48,Réserves!$J$2:$J$301,"Ouverte")+COUNTIFS(Réserves!$B$2:$B$301,$A48,Réserves!$J$2:$J$301,"En retard"))</f>
      </c>
      <c r="K48" s="20">
        <f>IF($C48="","",IFERROR(INDEX('Référentiel'!$B$2:$B$83,MATCH($C48,'Référentiel'!$A$2:$A$83,0)),"Type hors liste"))</f>
      </c>
      <c r="L48" s="22">
        <f>IF($C48="","",IF(IFERROR(INDEX('Référentiel'!$C$2:$C$83,MATCH($C48,'Référentiel'!$A$2:$A$83,0)),0)=0,"",IFERROR(INDEX('Référentiel'!$C$2:$C$83,MATCH($C48,'Référentiel'!$A$2:$A$83,0)),0)))</f>
      </c>
      <c r="M48" s="23"/>
      <c r="N48" s="22">
        <f>IF($C48="","",IF(IF($M48&lt;&gt;"",IF($L48&lt;&gt;"",MIN($L48,$M48),$M48),IF($L48&lt;&gt;"",$L48,IF(IFERROR(INDEX('Référentiel'!$D$2:$D$83,MATCH($C48,'Référentiel'!$A$2:$A$83,0)),0)&gt;0,IFERROR(INDEX('Référentiel'!$D$2:$D$83,MATCH($C48,'Référentiel'!$A$2:$A$83,0)),0),"")))="","",IF(AND(IFERROR(INDEX('Référentiel'!$F$2:$F$83,MATCH($C48,'Référentiel'!$A$2:$A$83,0)),0)&gt;0,N($J48)&gt;0),MIN(IF($M48&lt;&gt;"",IF($L48&lt;&gt;"",MIN($L48,$M48),$M48),IF($L48&lt;&gt;"",$L48,IF(IFERROR(INDEX('Référentiel'!$D$2:$D$83,MATCH($C48,'Référentiel'!$A$2:$A$83,0)),0)&gt;0,IFERROR(INDEX('Référentiel'!$D$2:$D$83,MATCH($C48,'Référentiel'!$A$2:$A$83,0)),0),""))),IFERROR(INDEX('Référentiel'!$F$2:$F$83,MATCH($C48,'Référentiel'!$A$2:$A$83,0)),0)),IF($M48&lt;&gt;"",IF($L48&lt;&gt;"",MIN($L48,$M48),$M48),IF($L48&lt;&gt;"",$L48,IF(IFERROR(INDEX('Référentiel'!$D$2:$D$83,MATCH($C48,'Référentiel'!$A$2:$A$83,0)),0)&gt;0,IFERROR(INDEX('Référentiel'!$D$2:$D$83,MATCH($C48,'Référentiel'!$A$2:$A$83,0)),0),""))))))</f>
      </c>
      <c r="O48" s="9"/>
      <c r="P48" s="23"/>
      <c r="Q48" s="9"/>
      <c r="R48" s="24"/>
      <c r="S48" s="23"/>
      <c r="T48" s="23"/>
      <c r="U48" s="24"/>
      <c r="V48" s="20">
        <f>IF($C48="","",IFERROR(INDEX('Référentiel'!$K$2:$K$83,MATCH($C48,'Référentiel'!$A$2:$A$83,0)),""))</f>
      </c>
      <c r="W48" s="20">
        <f>IF(AND(ISNUMBER($G48),$I48&lt;&gt;"Hors service",$I48&lt;&gt;"Location terminée"),$G48+ROW()/100000,"")</f>
      </c>
      <c r="X48" s="9"/>
    </row>
    <row r="49" spans="1:24" x14ac:dyDescent="0.25">
      <c r="A49" s="9"/>
      <c r="B49" s="9"/>
      <c r="C49" s="9"/>
      <c r="D49" s="9"/>
      <c r="E49" s="19">
        <f>IF($A49="","",IF(SUMPRODUCT(MAX((Vérifications!$B$2:$B$1001=$A49)*Vérifications!$L$2:$L$1001))=0,"",SUMPRODUCT(MAX((Vérifications!$B$2:$B$1001=$A49)*Vérifications!$L$2:$L$1001))))</f>
      </c>
      <c r="F49" s="20">
        <f>IF($E49="","",IFERROR(INDEX(Vérifications!$E$2:$E$1001,MATCH($A49&amp;"|"&amp;$E49,Vérifications!$M$2:$M$1001,0)),""))</f>
      </c>
      <c r="G49" s="19">
        <f>IF($N49="","",IF(ISNUMBER($E49),EDATE($E49,$N49),IF(AND(ISNUMBER($U49),IFERROR(INDEX('Référentiel'!$E$2:$E$83,MATCH($C49,'Référentiel'!$A$2:$A$83,0)),0)&gt;0),EDATE($U49,IFERROR(INDEX('Référentiel'!$E$2:$E$83,MATCH($C49,'Référentiel'!$A$2:$A$83,0)),0)),"")))</f>
      </c>
      <c r="H49" s="21">
        <f>IF(ISNUMBER($G49),$G49-TODAY(),"")</f>
      </c>
      <c r="I49" s="20">
        <f>IF(AND($A49="",$C49=""),"",IF($T49="Non","Hors service",IF(AND($Q49="Location",ISNUMBER($R49),$R49&lt;TODAY()),"Location terminée",IF(OR($F49="Mise à l'arrêt",IF($A49="",0,SUMPRODUCT((Réserves!$B$2:$B$301=$A49)*(Réserves!$E$2:$E$301="Mise à l'arrêt")*(Réserves!$J$2:$J$301&lt;&gt;"Levée")*(Réserves!$J$2:$J$301&lt;&gt;"")))&gt;0),"Arrêt : réserve à lever",IF($C49="","Type à choisir",IF($N49="","Périodicité à saisir",IF(OR(ISTEXT($U49),ISTEXT($R49)),"Date à corriger",IF(AND($E49="",$Q49="Location",$S49&lt;&gt;"Oui"),"Rapport loueur à obtenir",IF(NOT(ISNUMBER($G49)),"Vérif. initiale à tracer",IF($H49&lt;0,"En retard",IF(AND($Q49="Location",$S49&lt;&gt;"Oui"),"Rapport loueur à obtenir",IF($H49&lt;='Tableau de bord'!$C$4,"À planifier","À jour"))))))))))))</f>
      </c>
      <c r="J49" s="22">
        <f>IF($A49="","",COUNTIFS(Réserves!$B$2:$B$301,$A49,Réserves!$J$2:$J$301,"Ouverte")+COUNTIFS(Réserves!$B$2:$B$301,$A49,Réserves!$J$2:$J$301,"En retard"))</f>
      </c>
      <c r="K49" s="20">
        <f>IF($C49="","",IFERROR(INDEX('Référentiel'!$B$2:$B$83,MATCH($C49,'Référentiel'!$A$2:$A$83,0)),"Type hors liste"))</f>
      </c>
      <c r="L49" s="22">
        <f>IF($C49="","",IF(IFERROR(INDEX('Référentiel'!$C$2:$C$83,MATCH($C49,'Référentiel'!$A$2:$A$83,0)),0)=0,"",IFERROR(INDEX('Référentiel'!$C$2:$C$83,MATCH($C49,'Référentiel'!$A$2:$A$83,0)),0)))</f>
      </c>
      <c r="M49" s="23"/>
      <c r="N49" s="22">
        <f>IF($C49="","",IF(IF($M49&lt;&gt;"",IF($L49&lt;&gt;"",MIN($L49,$M49),$M49),IF($L49&lt;&gt;"",$L49,IF(IFERROR(INDEX('Référentiel'!$D$2:$D$83,MATCH($C49,'Référentiel'!$A$2:$A$83,0)),0)&gt;0,IFERROR(INDEX('Référentiel'!$D$2:$D$83,MATCH($C49,'Référentiel'!$A$2:$A$83,0)),0),"")))="","",IF(AND(IFERROR(INDEX('Référentiel'!$F$2:$F$83,MATCH($C49,'Référentiel'!$A$2:$A$83,0)),0)&gt;0,N($J49)&gt;0),MIN(IF($M49&lt;&gt;"",IF($L49&lt;&gt;"",MIN($L49,$M49),$M49),IF($L49&lt;&gt;"",$L49,IF(IFERROR(INDEX('Référentiel'!$D$2:$D$83,MATCH($C49,'Référentiel'!$A$2:$A$83,0)),0)&gt;0,IFERROR(INDEX('Référentiel'!$D$2:$D$83,MATCH($C49,'Référentiel'!$A$2:$A$83,0)),0),""))),IFERROR(INDEX('Référentiel'!$F$2:$F$83,MATCH($C49,'Référentiel'!$A$2:$A$83,0)),0)),IF($M49&lt;&gt;"",IF($L49&lt;&gt;"",MIN($L49,$M49),$M49),IF($L49&lt;&gt;"",$L49,IF(IFERROR(INDEX('Référentiel'!$D$2:$D$83,MATCH($C49,'Référentiel'!$A$2:$A$83,0)),0)&gt;0,IFERROR(INDEX('Référentiel'!$D$2:$D$83,MATCH($C49,'Référentiel'!$A$2:$A$83,0)),0),""))))))</f>
      </c>
      <c r="O49" s="9"/>
      <c r="P49" s="23"/>
      <c r="Q49" s="9"/>
      <c r="R49" s="24"/>
      <c r="S49" s="23"/>
      <c r="T49" s="23"/>
      <c r="U49" s="24"/>
      <c r="V49" s="20">
        <f>IF($C49="","",IFERROR(INDEX('Référentiel'!$K$2:$K$83,MATCH($C49,'Référentiel'!$A$2:$A$83,0)),""))</f>
      </c>
      <c r="W49" s="20">
        <f>IF(AND(ISNUMBER($G49),$I49&lt;&gt;"Hors service",$I49&lt;&gt;"Location terminée"),$G49+ROW()/100000,"")</f>
      </c>
      <c r="X49" s="9"/>
    </row>
    <row r="50" spans="1:24" x14ac:dyDescent="0.25">
      <c r="A50" s="9"/>
      <c r="B50" s="9"/>
      <c r="C50" s="9"/>
      <c r="D50" s="9"/>
      <c r="E50" s="19">
        <f>IF($A50="","",IF(SUMPRODUCT(MAX((Vérifications!$B$2:$B$1001=$A50)*Vérifications!$L$2:$L$1001))=0,"",SUMPRODUCT(MAX((Vérifications!$B$2:$B$1001=$A50)*Vérifications!$L$2:$L$1001))))</f>
      </c>
      <c r="F50" s="20">
        <f>IF($E50="","",IFERROR(INDEX(Vérifications!$E$2:$E$1001,MATCH($A50&amp;"|"&amp;$E50,Vérifications!$M$2:$M$1001,0)),""))</f>
      </c>
      <c r="G50" s="19">
        <f>IF($N50="","",IF(ISNUMBER($E50),EDATE($E50,$N50),IF(AND(ISNUMBER($U50),IFERROR(INDEX('Référentiel'!$E$2:$E$83,MATCH($C50,'Référentiel'!$A$2:$A$83,0)),0)&gt;0),EDATE($U50,IFERROR(INDEX('Référentiel'!$E$2:$E$83,MATCH($C50,'Référentiel'!$A$2:$A$83,0)),0)),"")))</f>
      </c>
      <c r="H50" s="21">
        <f>IF(ISNUMBER($G50),$G50-TODAY(),"")</f>
      </c>
      <c r="I50" s="20">
        <f>IF(AND($A50="",$C50=""),"",IF($T50="Non","Hors service",IF(AND($Q50="Location",ISNUMBER($R50),$R50&lt;TODAY()),"Location terminée",IF(OR($F50="Mise à l'arrêt",IF($A50="",0,SUMPRODUCT((Réserves!$B$2:$B$301=$A50)*(Réserves!$E$2:$E$301="Mise à l'arrêt")*(Réserves!$J$2:$J$301&lt;&gt;"Levée")*(Réserves!$J$2:$J$301&lt;&gt;"")))&gt;0),"Arrêt : réserve à lever",IF($C50="","Type à choisir",IF($N50="","Périodicité à saisir",IF(OR(ISTEXT($U50),ISTEXT($R50)),"Date à corriger",IF(AND($E50="",$Q50="Location",$S50&lt;&gt;"Oui"),"Rapport loueur à obtenir",IF(NOT(ISNUMBER($G50)),"Vérif. initiale à tracer",IF($H50&lt;0,"En retard",IF(AND($Q50="Location",$S50&lt;&gt;"Oui"),"Rapport loueur à obtenir",IF($H50&lt;='Tableau de bord'!$C$4,"À planifier","À jour"))))))))))))</f>
      </c>
      <c r="J50" s="22">
        <f>IF($A50="","",COUNTIFS(Réserves!$B$2:$B$301,$A50,Réserves!$J$2:$J$301,"Ouverte")+COUNTIFS(Réserves!$B$2:$B$301,$A50,Réserves!$J$2:$J$301,"En retard"))</f>
      </c>
      <c r="K50" s="20">
        <f>IF($C50="","",IFERROR(INDEX('Référentiel'!$B$2:$B$83,MATCH($C50,'Référentiel'!$A$2:$A$83,0)),"Type hors liste"))</f>
      </c>
      <c r="L50" s="22">
        <f>IF($C50="","",IF(IFERROR(INDEX('Référentiel'!$C$2:$C$83,MATCH($C50,'Référentiel'!$A$2:$A$83,0)),0)=0,"",IFERROR(INDEX('Référentiel'!$C$2:$C$83,MATCH($C50,'Référentiel'!$A$2:$A$83,0)),0)))</f>
      </c>
      <c r="M50" s="23"/>
      <c r="N50" s="22">
        <f>IF($C50="","",IF(IF($M50&lt;&gt;"",IF($L50&lt;&gt;"",MIN($L50,$M50),$M50),IF($L50&lt;&gt;"",$L50,IF(IFERROR(INDEX('Référentiel'!$D$2:$D$83,MATCH($C50,'Référentiel'!$A$2:$A$83,0)),0)&gt;0,IFERROR(INDEX('Référentiel'!$D$2:$D$83,MATCH($C50,'Référentiel'!$A$2:$A$83,0)),0),"")))="","",IF(AND(IFERROR(INDEX('Référentiel'!$F$2:$F$83,MATCH($C50,'Référentiel'!$A$2:$A$83,0)),0)&gt;0,N($J50)&gt;0),MIN(IF($M50&lt;&gt;"",IF($L50&lt;&gt;"",MIN($L50,$M50),$M50),IF($L50&lt;&gt;"",$L50,IF(IFERROR(INDEX('Référentiel'!$D$2:$D$83,MATCH($C50,'Référentiel'!$A$2:$A$83,0)),0)&gt;0,IFERROR(INDEX('Référentiel'!$D$2:$D$83,MATCH($C50,'Référentiel'!$A$2:$A$83,0)),0),""))),IFERROR(INDEX('Référentiel'!$F$2:$F$83,MATCH($C50,'Référentiel'!$A$2:$A$83,0)),0)),IF($M50&lt;&gt;"",IF($L50&lt;&gt;"",MIN($L50,$M50),$M50),IF($L50&lt;&gt;"",$L50,IF(IFERROR(INDEX('Référentiel'!$D$2:$D$83,MATCH($C50,'Référentiel'!$A$2:$A$83,0)),0)&gt;0,IFERROR(INDEX('Référentiel'!$D$2:$D$83,MATCH($C50,'Référentiel'!$A$2:$A$83,0)),0),""))))))</f>
      </c>
      <c r="O50" s="9"/>
      <c r="P50" s="23"/>
      <c r="Q50" s="9"/>
      <c r="R50" s="24"/>
      <c r="S50" s="23"/>
      <c r="T50" s="23"/>
      <c r="U50" s="24"/>
      <c r="V50" s="20">
        <f>IF($C50="","",IFERROR(INDEX('Référentiel'!$K$2:$K$83,MATCH($C50,'Référentiel'!$A$2:$A$83,0)),""))</f>
      </c>
      <c r="W50" s="20">
        <f>IF(AND(ISNUMBER($G50),$I50&lt;&gt;"Hors service",$I50&lt;&gt;"Location terminée"),$G50+ROW()/100000,"")</f>
      </c>
      <c r="X50" s="9"/>
    </row>
    <row r="51" spans="1:24" x14ac:dyDescent="0.25">
      <c r="A51" s="9"/>
      <c r="B51" s="9"/>
      <c r="C51" s="9"/>
      <c r="D51" s="9"/>
      <c r="E51" s="19">
        <f>IF($A51="","",IF(SUMPRODUCT(MAX((Vérifications!$B$2:$B$1001=$A51)*Vérifications!$L$2:$L$1001))=0,"",SUMPRODUCT(MAX((Vérifications!$B$2:$B$1001=$A51)*Vérifications!$L$2:$L$1001))))</f>
      </c>
      <c r="F51" s="20">
        <f>IF($E51="","",IFERROR(INDEX(Vérifications!$E$2:$E$1001,MATCH($A51&amp;"|"&amp;$E51,Vérifications!$M$2:$M$1001,0)),""))</f>
      </c>
      <c r="G51" s="19">
        <f>IF($N51="","",IF(ISNUMBER($E51),EDATE($E51,$N51),IF(AND(ISNUMBER($U51),IFERROR(INDEX('Référentiel'!$E$2:$E$83,MATCH($C51,'Référentiel'!$A$2:$A$83,0)),0)&gt;0),EDATE($U51,IFERROR(INDEX('Référentiel'!$E$2:$E$83,MATCH($C51,'Référentiel'!$A$2:$A$83,0)),0)),"")))</f>
      </c>
      <c r="H51" s="21">
        <f>IF(ISNUMBER($G51),$G51-TODAY(),"")</f>
      </c>
      <c r="I51" s="20">
        <f>IF(AND($A51="",$C51=""),"",IF($T51="Non","Hors service",IF(AND($Q51="Location",ISNUMBER($R51),$R51&lt;TODAY()),"Location terminée",IF(OR($F51="Mise à l'arrêt",IF($A51="",0,SUMPRODUCT((Réserves!$B$2:$B$301=$A51)*(Réserves!$E$2:$E$301="Mise à l'arrêt")*(Réserves!$J$2:$J$301&lt;&gt;"Levée")*(Réserves!$J$2:$J$301&lt;&gt;"")))&gt;0),"Arrêt : réserve à lever",IF($C51="","Type à choisir",IF($N51="","Périodicité à saisir",IF(OR(ISTEXT($U51),ISTEXT($R51)),"Date à corriger",IF(AND($E51="",$Q51="Location",$S51&lt;&gt;"Oui"),"Rapport loueur à obtenir",IF(NOT(ISNUMBER($G51)),"Vérif. initiale à tracer",IF($H51&lt;0,"En retard",IF(AND($Q51="Location",$S51&lt;&gt;"Oui"),"Rapport loueur à obtenir",IF($H51&lt;='Tableau de bord'!$C$4,"À planifier","À jour"))))))))))))</f>
      </c>
      <c r="J51" s="22">
        <f>IF($A51="","",COUNTIFS(Réserves!$B$2:$B$301,$A51,Réserves!$J$2:$J$301,"Ouverte")+COUNTIFS(Réserves!$B$2:$B$301,$A51,Réserves!$J$2:$J$301,"En retard"))</f>
      </c>
      <c r="K51" s="20">
        <f>IF($C51="","",IFERROR(INDEX('Référentiel'!$B$2:$B$83,MATCH($C51,'Référentiel'!$A$2:$A$83,0)),"Type hors liste"))</f>
      </c>
      <c r="L51" s="22">
        <f>IF($C51="","",IF(IFERROR(INDEX('Référentiel'!$C$2:$C$83,MATCH($C51,'Référentiel'!$A$2:$A$83,0)),0)=0,"",IFERROR(INDEX('Référentiel'!$C$2:$C$83,MATCH($C51,'Référentiel'!$A$2:$A$83,0)),0)))</f>
      </c>
      <c r="M51" s="23"/>
      <c r="N51" s="22">
        <f>IF($C51="","",IF(IF($M51&lt;&gt;"",IF($L51&lt;&gt;"",MIN($L51,$M51),$M51),IF($L51&lt;&gt;"",$L51,IF(IFERROR(INDEX('Référentiel'!$D$2:$D$83,MATCH($C51,'Référentiel'!$A$2:$A$83,0)),0)&gt;0,IFERROR(INDEX('Référentiel'!$D$2:$D$83,MATCH($C51,'Référentiel'!$A$2:$A$83,0)),0),"")))="","",IF(AND(IFERROR(INDEX('Référentiel'!$F$2:$F$83,MATCH($C51,'Référentiel'!$A$2:$A$83,0)),0)&gt;0,N($J51)&gt;0),MIN(IF($M51&lt;&gt;"",IF($L51&lt;&gt;"",MIN($L51,$M51),$M51),IF($L51&lt;&gt;"",$L51,IF(IFERROR(INDEX('Référentiel'!$D$2:$D$83,MATCH($C51,'Référentiel'!$A$2:$A$83,0)),0)&gt;0,IFERROR(INDEX('Référentiel'!$D$2:$D$83,MATCH($C51,'Référentiel'!$A$2:$A$83,0)),0),""))),IFERROR(INDEX('Référentiel'!$F$2:$F$83,MATCH($C51,'Référentiel'!$A$2:$A$83,0)),0)),IF($M51&lt;&gt;"",IF($L51&lt;&gt;"",MIN($L51,$M51),$M51),IF($L51&lt;&gt;"",$L51,IF(IFERROR(INDEX('Référentiel'!$D$2:$D$83,MATCH($C51,'Référentiel'!$A$2:$A$83,0)),0)&gt;0,IFERROR(INDEX('Référentiel'!$D$2:$D$83,MATCH($C51,'Référentiel'!$A$2:$A$83,0)),0),""))))))</f>
      </c>
      <c r="O51" s="9"/>
      <c r="P51" s="23"/>
      <c r="Q51" s="9"/>
      <c r="R51" s="24"/>
      <c r="S51" s="23"/>
      <c r="T51" s="23"/>
      <c r="U51" s="24"/>
      <c r="V51" s="20">
        <f>IF($C51="","",IFERROR(INDEX('Référentiel'!$K$2:$K$83,MATCH($C51,'Référentiel'!$A$2:$A$83,0)),""))</f>
      </c>
      <c r="W51" s="20">
        <f>IF(AND(ISNUMBER($G51),$I51&lt;&gt;"Hors service",$I51&lt;&gt;"Location terminée"),$G51+ROW()/100000,"")</f>
      </c>
      <c r="X51" s="9"/>
    </row>
    <row r="52" spans="1:24" x14ac:dyDescent="0.25">
      <c r="A52" s="9"/>
      <c r="B52" s="9"/>
      <c r="C52" s="9"/>
      <c r="D52" s="9"/>
      <c r="E52" s="19">
        <f>IF($A52="","",IF(SUMPRODUCT(MAX((Vérifications!$B$2:$B$1001=$A52)*Vérifications!$L$2:$L$1001))=0,"",SUMPRODUCT(MAX((Vérifications!$B$2:$B$1001=$A52)*Vérifications!$L$2:$L$1001))))</f>
      </c>
      <c r="F52" s="20">
        <f>IF($E52="","",IFERROR(INDEX(Vérifications!$E$2:$E$1001,MATCH($A52&amp;"|"&amp;$E52,Vérifications!$M$2:$M$1001,0)),""))</f>
      </c>
      <c r="G52" s="19">
        <f>IF($N52="","",IF(ISNUMBER($E52),EDATE($E52,$N52),IF(AND(ISNUMBER($U52),IFERROR(INDEX('Référentiel'!$E$2:$E$83,MATCH($C52,'Référentiel'!$A$2:$A$83,0)),0)&gt;0),EDATE($U52,IFERROR(INDEX('Référentiel'!$E$2:$E$83,MATCH($C52,'Référentiel'!$A$2:$A$83,0)),0)),"")))</f>
      </c>
      <c r="H52" s="21">
        <f>IF(ISNUMBER($G52),$G52-TODAY(),"")</f>
      </c>
      <c r="I52" s="20">
        <f>IF(AND($A52="",$C52=""),"",IF($T52="Non","Hors service",IF(AND($Q52="Location",ISNUMBER($R52),$R52&lt;TODAY()),"Location terminée",IF(OR($F52="Mise à l'arrêt",IF($A52="",0,SUMPRODUCT((Réserves!$B$2:$B$301=$A52)*(Réserves!$E$2:$E$301="Mise à l'arrêt")*(Réserves!$J$2:$J$301&lt;&gt;"Levée")*(Réserves!$J$2:$J$301&lt;&gt;"")))&gt;0),"Arrêt : réserve à lever",IF($C52="","Type à choisir",IF($N52="","Périodicité à saisir",IF(OR(ISTEXT($U52),ISTEXT($R52)),"Date à corriger",IF(AND($E52="",$Q52="Location",$S52&lt;&gt;"Oui"),"Rapport loueur à obtenir",IF(NOT(ISNUMBER($G52)),"Vérif. initiale à tracer",IF($H52&lt;0,"En retard",IF(AND($Q52="Location",$S52&lt;&gt;"Oui"),"Rapport loueur à obtenir",IF($H52&lt;='Tableau de bord'!$C$4,"À planifier","À jour"))))))))))))</f>
      </c>
      <c r="J52" s="22">
        <f>IF($A52="","",COUNTIFS(Réserves!$B$2:$B$301,$A52,Réserves!$J$2:$J$301,"Ouverte")+COUNTIFS(Réserves!$B$2:$B$301,$A52,Réserves!$J$2:$J$301,"En retard"))</f>
      </c>
      <c r="K52" s="20">
        <f>IF($C52="","",IFERROR(INDEX('Référentiel'!$B$2:$B$83,MATCH($C52,'Référentiel'!$A$2:$A$83,0)),"Type hors liste"))</f>
      </c>
      <c r="L52" s="22">
        <f>IF($C52="","",IF(IFERROR(INDEX('Référentiel'!$C$2:$C$83,MATCH($C52,'Référentiel'!$A$2:$A$83,0)),0)=0,"",IFERROR(INDEX('Référentiel'!$C$2:$C$83,MATCH($C52,'Référentiel'!$A$2:$A$83,0)),0)))</f>
      </c>
      <c r="M52" s="23"/>
      <c r="N52" s="22">
        <f>IF($C52="","",IF(IF($M52&lt;&gt;"",IF($L52&lt;&gt;"",MIN($L52,$M52),$M52),IF($L52&lt;&gt;"",$L52,IF(IFERROR(INDEX('Référentiel'!$D$2:$D$83,MATCH($C52,'Référentiel'!$A$2:$A$83,0)),0)&gt;0,IFERROR(INDEX('Référentiel'!$D$2:$D$83,MATCH($C52,'Référentiel'!$A$2:$A$83,0)),0),"")))="","",IF(AND(IFERROR(INDEX('Référentiel'!$F$2:$F$83,MATCH($C52,'Référentiel'!$A$2:$A$83,0)),0)&gt;0,N($J52)&gt;0),MIN(IF($M52&lt;&gt;"",IF($L52&lt;&gt;"",MIN($L52,$M52),$M52),IF($L52&lt;&gt;"",$L52,IF(IFERROR(INDEX('Référentiel'!$D$2:$D$83,MATCH($C52,'Référentiel'!$A$2:$A$83,0)),0)&gt;0,IFERROR(INDEX('Référentiel'!$D$2:$D$83,MATCH($C52,'Référentiel'!$A$2:$A$83,0)),0),""))),IFERROR(INDEX('Référentiel'!$F$2:$F$83,MATCH($C52,'Référentiel'!$A$2:$A$83,0)),0)),IF($M52&lt;&gt;"",IF($L52&lt;&gt;"",MIN($L52,$M52),$M52),IF($L52&lt;&gt;"",$L52,IF(IFERROR(INDEX('Référentiel'!$D$2:$D$83,MATCH($C52,'Référentiel'!$A$2:$A$83,0)),0)&gt;0,IFERROR(INDEX('Référentiel'!$D$2:$D$83,MATCH($C52,'Référentiel'!$A$2:$A$83,0)),0),""))))))</f>
      </c>
      <c r="O52" s="9"/>
      <c r="P52" s="23"/>
      <c r="Q52" s="9"/>
      <c r="R52" s="24"/>
      <c r="S52" s="23"/>
      <c r="T52" s="23"/>
      <c r="U52" s="24"/>
      <c r="V52" s="20">
        <f>IF($C52="","",IFERROR(INDEX('Référentiel'!$K$2:$K$83,MATCH($C52,'Référentiel'!$A$2:$A$83,0)),""))</f>
      </c>
      <c r="W52" s="20">
        <f>IF(AND(ISNUMBER($G52),$I52&lt;&gt;"Hors service",$I52&lt;&gt;"Location terminée"),$G52+ROW()/100000,"")</f>
      </c>
      <c r="X52" s="9"/>
    </row>
    <row r="53" spans="1:24" x14ac:dyDescent="0.25">
      <c r="A53" s="9"/>
      <c r="B53" s="9"/>
      <c r="C53" s="9"/>
      <c r="D53" s="9"/>
      <c r="E53" s="19">
        <f>IF($A53="","",IF(SUMPRODUCT(MAX((Vérifications!$B$2:$B$1001=$A53)*Vérifications!$L$2:$L$1001))=0,"",SUMPRODUCT(MAX((Vérifications!$B$2:$B$1001=$A53)*Vérifications!$L$2:$L$1001))))</f>
      </c>
      <c r="F53" s="20">
        <f>IF($E53="","",IFERROR(INDEX(Vérifications!$E$2:$E$1001,MATCH($A53&amp;"|"&amp;$E53,Vérifications!$M$2:$M$1001,0)),""))</f>
      </c>
      <c r="G53" s="19">
        <f>IF($N53="","",IF(ISNUMBER($E53),EDATE($E53,$N53),IF(AND(ISNUMBER($U53),IFERROR(INDEX('Référentiel'!$E$2:$E$83,MATCH($C53,'Référentiel'!$A$2:$A$83,0)),0)&gt;0),EDATE($U53,IFERROR(INDEX('Référentiel'!$E$2:$E$83,MATCH($C53,'Référentiel'!$A$2:$A$83,0)),0)),"")))</f>
      </c>
      <c r="H53" s="21">
        <f>IF(ISNUMBER($G53),$G53-TODAY(),"")</f>
      </c>
      <c r="I53" s="20">
        <f>IF(AND($A53="",$C53=""),"",IF($T53="Non","Hors service",IF(AND($Q53="Location",ISNUMBER($R53),$R53&lt;TODAY()),"Location terminée",IF(OR($F53="Mise à l'arrêt",IF($A53="",0,SUMPRODUCT((Réserves!$B$2:$B$301=$A53)*(Réserves!$E$2:$E$301="Mise à l'arrêt")*(Réserves!$J$2:$J$301&lt;&gt;"Levée")*(Réserves!$J$2:$J$301&lt;&gt;"")))&gt;0),"Arrêt : réserve à lever",IF($C53="","Type à choisir",IF($N53="","Périodicité à saisir",IF(OR(ISTEXT($U53),ISTEXT($R53)),"Date à corriger",IF(AND($E53="",$Q53="Location",$S53&lt;&gt;"Oui"),"Rapport loueur à obtenir",IF(NOT(ISNUMBER($G53)),"Vérif. initiale à tracer",IF($H53&lt;0,"En retard",IF(AND($Q53="Location",$S53&lt;&gt;"Oui"),"Rapport loueur à obtenir",IF($H53&lt;='Tableau de bord'!$C$4,"À planifier","À jour"))))))))))))</f>
      </c>
      <c r="J53" s="22">
        <f>IF($A53="","",COUNTIFS(Réserves!$B$2:$B$301,$A53,Réserves!$J$2:$J$301,"Ouverte")+COUNTIFS(Réserves!$B$2:$B$301,$A53,Réserves!$J$2:$J$301,"En retard"))</f>
      </c>
      <c r="K53" s="20">
        <f>IF($C53="","",IFERROR(INDEX('Référentiel'!$B$2:$B$83,MATCH($C53,'Référentiel'!$A$2:$A$83,0)),"Type hors liste"))</f>
      </c>
      <c r="L53" s="22">
        <f>IF($C53="","",IF(IFERROR(INDEX('Référentiel'!$C$2:$C$83,MATCH($C53,'Référentiel'!$A$2:$A$83,0)),0)=0,"",IFERROR(INDEX('Référentiel'!$C$2:$C$83,MATCH($C53,'Référentiel'!$A$2:$A$83,0)),0)))</f>
      </c>
      <c r="M53" s="23"/>
      <c r="N53" s="22">
        <f>IF($C53="","",IF(IF($M53&lt;&gt;"",IF($L53&lt;&gt;"",MIN($L53,$M53),$M53),IF($L53&lt;&gt;"",$L53,IF(IFERROR(INDEX('Référentiel'!$D$2:$D$83,MATCH($C53,'Référentiel'!$A$2:$A$83,0)),0)&gt;0,IFERROR(INDEX('Référentiel'!$D$2:$D$83,MATCH($C53,'Référentiel'!$A$2:$A$83,0)),0),"")))="","",IF(AND(IFERROR(INDEX('Référentiel'!$F$2:$F$83,MATCH($C53,'Référentiel'!$A$2:$A$83,0)),0)&gt;0,N($J53)&gt;0),MIN(IF($M53&lt;&gt;"",IF($L53&lt;&gt;"",MIN($L53,$M53),$M53),IF($L53&lt;&gt;"",$L53,IF(IFERROR(INDEX('Référentiel'!$D$2:$D$83,MATCH($C53,'Référentiel'!$A$2:$A$83,0)),0)&gt;0,IFERROR(INDEX('Référentiel'!$D$2:$D$83,MATCH($C53,'Référentiel'!$A$2:$A$83,0)),0),""))),IFERROR(INDEX('Référentiel'!$F$2:$F$83,MATCH($C53,'Référentiel'!$A$2:$A$83,0)),0)),IF($M53&lt;&gt;"",IF($L53&lt;&gt;"",MIN($L53,$M53),$M53),IF($L53&lt;&gt;"",$L53,IF(IFERROR(INDEX('Référentiel'!$D$2:$D$83,MATCH($C53,'Référentiel'!$A$2:$A$83,0)),0)&gt;0,IFERROR(INDEX('Référentiel'!$D$2:$D$83,MATCH($C53,'Référentiel'!$A$2:$A$83,0)),0),""))))))</f>
      </c>
      <c r="O53" s="9"/>
      <c r="P53" s="23"/>
      <c r="Q53" s="9"/>
      <c r="R53" s="24"/>
      <c r="S53" s="23"/>
      <c r="T53" s="23"/>
      <c r="U53" s="24"/>
      <c r="V53" s="20">
        <f>IF($C53="","",IFERROR(INDEX('Référentiel'!$K$2:$K$83,MATCH($C53,'Référentiel'!$A$2:$A$83,0)),""))</f>
      </c>
      <c r="W53" s="20">
        <f>IF(AND(ISNUMBER($G53),$I53&lt;&gt;"Hors service",$I53&lt;&gt;"Location terminée"),$G53+ROW()/100000,"")</f>
      </c>
      <c r="X53" s="9"/>
    </row>
    <row r="54" spans="1:24" x14ac:dyDescent="0.25">
      <c r="A54" s="9"/>
      <c r="B54" s="9"/>
      <c r="C54" s="9"/>
      <c r="D54" s="9"/>
      <c r="E54" s="19">
        <f>IF($A54="","",IF(SUMPRODUCT(MAX((Vérifications!$B$2:$B$1001=$A54)*Vérifications!$L$2:$L$1001))=0,"",SUMPRODUCT(MAX((Vérifications!$B$2:$B$1001=$A54)*Vérifications!$L$2:$L$1001))))</f>
      </c>
      <c r="F54" s="20">
        <f>IF($E54="","",IFERROR(INDEX(Vérifications!$E$2:$E$1001,MATCH($A54&amp;"|"&amp;$E54,Vérifications!$M$2:$M$1001,0)),""))</f>
      </c>
      <c r="G54" s="19">
        <f>IF($N54="","",IF(ISNUMBER($E54),EDATE($E54,$N54),IF(AND(ISNUMBER($U54),IFERROR(INDEX('Référentiel'!$E$2:$E$83,MATCH($C54,'Référentiel'!$A$2:$A$83,0)),0)&gt;0),EDATE($U54,IFERROR(INDEX('Référentiel'!$E$2:$E$83,MATCH($C54,'Référentiel'!$A$2:$A$83,0)),0)),"")))</f>
      </c>
      <c r="H54" s="21">
        <f>IF(ISNUMBER($G54),$G54-TODAY(),"")</f>
      </c>
      <c r="I54" s="20">
        <f>IF(AND($A54="",$C54=""),"",IF($T54="Non","Hors service",IF(AND($Q54="Location",ISNUMBER($R54),$R54&lt;TODAY()),"Location terminée",IF(OR($F54="Mise à l'arrêt",IF($A54="",0,SUMPRODUCT((Réserves!$B$2:$B$301=$A54)*(Réserves!$E$2:$E$301="Mise à l'arrêt")*(Réserves!$J$2:$J$301&lt;&gt;"Levée")*(Réserves!$J$2:$J$301&lt;&gt;"")))&gt;0),"Arrêt : réserve à lever",IF($C54="","Type à choisir",IF($N54="","Périodicité à saisir",IF(OR(ISTEXT($U54),ISTEXT($R54)),"Date à corriger",IF(AND($E54="",$Q54="Location",$S54&lt;&gt;"Oui"),"Rapport loueur à obtenir",IF(NOT(ISNUMBER($G54)),"Vérif. initiale à tracer",IF($H54&lt;0,"En retard",IF(AND($Q54="Location",$S54&lt;&gt;"Oui"),"Rapport loueur à obtenir",IF($H54&lt;='Tableau de bord'!$C$4,"À planifier","À jour"))))))))))))</f>
      </c>
      <c r="J54" s="22">
        <f>IF($A54="","",COUNTIFS(Réserves!$B$2:$B$301,$A54,Réserves!$J$2:$J$301,"Ouverte")+COUNTIFS(Réserves!$B$2:$B$301,$A54,Réserves!$J$2:$J$301,"En retard"))</f>
      </c>
      <c r="K54" s="20">
        <f>IF($C54="","",IFERROR(INDEX('Référentiel'!$B$2:$B$83,MATCH($C54,'Référentiel'!$A$2:$A$83,0)),"Type hors liste"))</f>
      </c>
      <c r="L54" s="22">
        <f>IF($C54="","",IF(IFERROR(INDEX('Référentiel'!$C$2:$C$83,MATCH($C54,'Référentiel'!$A$2:$A$83,0)),0)=0,"",IFERROR(INDEX('Référentiel'!$C$2:$C$83,MATCH($C54,'Référentiel'!$A$2:$A$83,0)),0)))</f>
      </c>
      <c r="M54" s="23"/>
      <c r="N54" s="22">
        <f>IF($C54="","",IF(IF($M54&lt;&gt;"",IF($L54&lt;&gt;"",MIN($L54,$M54),$M54),IF($L54&lt;&gt;"",$L54,IF(IFERROR(INDEX('Référentiel'!$D$2:$D$83,MATCH($C54,'Référentiel'!$A$2:$A$83,0)),0)&gt;0,IFERROR(INDEX('Référentiel'!$D$2:$D$83,MATCH($C54,'Référentiel'!$A$2:$A$83,0)),0),"")))="","",IF(AND(IFERROR(INDEX('Référentiel'!$F$2:$F$83,MATCH($C54,'Référentiel'!$A$2:$A$83,0)),0)&gt;0,N($J54)&gt;0),MIN(IF($M54&lt;&gt;"",IF($L54&lt;&gt;"",MIN($L54,$M54),$M54),IF($L54&lt;&gt;"",$L54,IF(IFERROR(INDEX('Référentiel'!$D$2:$D$83,MATCH($C54,'Référentiel'!$A$2:$A$83,0)),0)&gt;0,IFERROR(INDEX('Référentiel'!$D$2:$D$83,MATCH($C54,'Référentiel'!$A$2:$A$83,0)),0),""))),IFERROR(INDEX('Référentiel'!$F$2:$F$83,MATCH($C54,'Référentiel'!$A$2:$A$83,0)),0)),IF($M54&lt;&gt;"",IF($L54&lt;&gt;"",MIN($L54,$M54),$M54),IF($L54&lt;&gt;"",$L54,IF(IFERROR(INDEX('Référentiel'!$D$2:$D$83,MATCH($C54,'Référentiel'!$A$2:$A$83,0)),0)&gt;0,IFERROR(INDEX('Référentiel'!$D$2:$D$83,MATCH($C54,'Référentiel'!$A$2:$A$83,0)),0),""))))))</f>
      </c>
      <c r="O54" s="9"/>
      <c r="P54" s="23"/>
      <c r="Q54" s="9"/>
      <c r="R54" s="24"/>
      <c r="S54" s="23"/>
      <c r="T54" s="23"/>
      <c r="U54" s="24"/>
      <c r="V54" s="20">
        <f>IF($C54="","",IFERROR(INDEX('Référentiel'!$K$2:$K$83,MATCH($C54,'Référentiel'!$A$2:$A$83,0)),""))</f>
      </c>
      <c r="W54" s="20">
        <f>IF(AND(ISNUMBER($G54),$I54&lt;&gt;"Hors service",$I54&lt;&gt;"Location terminée"),$G54+ROW()/100000,"")</f>
      </c>
      <c r="X54" s="9"/>
    </row>
    <row r="55" spans="1:24" x14ac:dyDescent="0.25">
      <c r="A55" s="9"/>
      <c r="B55" s="9"/>
      <c r="C55" s="9"/>
      <c r="D55" s="9"/>
      <c r="E55" s="19">
        <f>IF($A55="","",IF(SUMPRODUCT(MAX((Vérifications!$B$2:$B$1001=$A55)*Vérifications!$L$2:$L$1001))=0,"",SUMPRODUCT(MAX((Vérifications!$B$2:$B$1001=$A55)*Vérifications!$L$2:$L$1001))))</f>
      </c>
      <c r="F55" s="20">
        <f>IF($E55="","",IFERROR(INDEX(Vérifications!$E$2:$E$1001,MATCH($A55&amp;"|"&amp;$E55,Vérifications!$M$2:$M$1001,0)),""))</f>
      </c>
      <c r="G55" s="19">
        <f>IF($N55="","",IF(ISNUMBER($E55),EDATE($E55,$N55),IF(AND(ISNUMBER($U55),IFERROR(INDEX('Référentiel'!$E$2:$E$83,MATCH($C55,'Référentiel'!$A$2:$A$83,0)),0)&gt;0),EDATE($U55,IFERROR(INDEX('Référentiel'!$E$2:$E$83,MATCH($C55,'Référentiel'!$A$2:$A$83,0)),0)),"")))</f>
      </c>
      <c r="H55" s="21">
        <f>IF(ISNUMBER($G55),$G55-TODAY(),"")</f>
      </c>
      <c r="I55" s="20">
        <f>IF(AND($A55="",$C55=""),"",IF($T55="Non","Hors service",IF(AND($Q55="Location",ISNUMBER($R55),$R55&lt;TODAY()),"Location terminée",IF(OR($F55="Mise à l'arrêt",IF($A55="",0,SUMPRODUCT((Réserves!$B$2:$B$301=$A55)*(Réserves!$E$2:$E$301="Mise à l'arrêt")*(Réserves!$J$2:$J$301&lt;&gt;"Levée")*(Réserves!$J$2:$J$301&lt;&gt;"")))&gt;0),"Arrêt : réserve à lever",IF($C55="","Type à choisir",IF($N55="","Périodicité à saisir",IF(OR(ISTEXT($U55),ISTEXT($R55)),"Date à corriger",IF(AND($E55="",$Q55="Location",$S55&lt;&gt;"Oui"),"Rapport loueur à obtenir",IF(NOT(ISNUMBER($G55)),"Vérif. initiale à tracer",IF($H55&lt;0,"En retard",IF(AND($Q55="Location",$S55&lt;&gt;"Oui"),"Rapport loueur à obtenir",IF($H55&lt;='Tableau de bord'!$C$4,"À planifier","À jour"))))))))))))</f>
      </c>
      <c r="J55" s="22">
        <f>IF($A55="","",COUNTIFS(Réserves!$B$2:$B$301,$A55,Réserves!$J$2:$J$301,"Ouverte")+COUNTIFS(Réserves!$B$2:$B$301,$A55,Réserves!$J$2:$J$301,"En retard"))</f>
      </c>
      <c r="K55" s="20">
        <f>IF($C55="","",IFERROR(INDEX('Référentiel'!$B$2:$B$83,MATCH($C55,'Référentiel'!$A$2:$A$83,0)),"Type hors liste"))</f>
      </c>
      <c r="L55" s="22">
        <f>IF($C55="","",IF(IFERROR(INDEX('Référentiel'!$C$2:$C$83,MATCH($C55,'Référentiel'!$A$2:$A$83,0)),0)=0,"",IFERROR(INDEX('Référentiel'!$C$2:$C$83,MATCH($C55,'Référentiel'!$A$2:$A$83,0)),0)))</f>
      </c>
      <c r="M55" s="23"/>
      <c r="N55" s="22">
        <f>IF($C55="","",IF(IF($M55&lt;&gt;"",IF($L55&lt;&gt;"",MIN($L55,$M55),$M55),IF($L55&lt;&gt;"",$L55,IF(IFERROR(INDEX('Référentiel'!$D$2:$D$83,MATCH($C55,'Référentiel'!$A$2:$A$83,0)),0)&gt;0,IFERROR(INDEX('Référentiel'!$D$2:$D$83,MATCH($C55,'Référentiel'!$A$2:$A$83,0)),0),"")))="","",IF(AND(IFERROR(INDEX('Référentiel'!$F$2:$F$83,MATCH($C55,'Référentiel'!$A$2:$A$83,0)),0)&gt;0,N($J55)&gt;0),MIN(IF($M55&lt;&gt;"",IF($L55&lt;&gt;"",MIN($L55,$M55),$M55),IF($L55&lt;&gt;"",$L55,IF(IFERROR(INDEX('Référentiel'!$D$2:$D$83,MATCH($C55,'Référentiel'!$A$2:$A$83,0)),0)&gt;0,IFERROR(INDEX('Référentiel'!$D$2:$D$83,MATCH($C55,'Référentiel'!$A$2:$A$83,0)),0),""))),IFERROR(INDEX('Référentiel'!$F$2:$F$83,MATCH($C55,'Référentiel'!$A$2:$A$83,0)),0)),IF($M55&lt;&gt;"",IF($L55&lt;&gt;"",MIN($L55,$M55),$M55),IF($L55&lt;&gt;"",$L55,IF(IFERROR(INDEX('Référentiel'!$D$2:$D$83,MATCH($C55,'Référentiel'!$A$2:$A$83,0)),0)&gt;0,IFERROR(INDEX('Référentiel'!$D$2:$D$83,MATCH($C55,'Référentiel'!$A$2:$A$83,0)),0),""))))))</f>
      </c>
      <c r="O55" s="9"/>
      <c r="P55" s="23"/>
      <c r="Q55" s="9"/>
      <c r="R55" s="24"/>
      <c r="S55" s="23"/>
      <c r="T55" s="23"/>
      <c r="U55" s="24"/>
      <c r="V55" s="20">
        <f>IF($C55="","",IFERROR(INDEX('Référentiel'!$K$2:$K$83,MATCH($C55,'Référentiel'!$A$2:$A$83,0)),""))</f>
      </c>
      <c r="W55" s="20">
        <f>IF(AND(ISNUMBER($G55),$I55&lt;&gt;"Hors service",$I55&lt;&gt;"Location terminée"),$G55+ROW()/100000,"")</f>
      </c>
      <c r="X55" s="9"/>
    </row>
    <row r="56" spans="1:24" x14ac:dyDescent="0.25">
      <c r="A56" s="9"/>
      <c r="B56" s="9"/>
      <c r="C56" s="9"/>
      <c r="D56" s="9"/>
      <c r="E56" s="19">
        <f>IF($A56="","",IF(SUMPRODUCT(MAX((Vérifications!$B$2:$B$1001=$A56)*Vérifications!$L$2:$L$1001))=0,"",SUMPRODUCT(MAX((Vérifications!$B$2:$B$1001=$A56)*Vérifications!$L$2:$L$1001))))</f>
      </c>
      <c r="F56" s="20">
        <f>IF($E56="","",IFERROR(INDEX(Vérifications!$E$2:$E$1001,MATCH($A56&amp;"|"&amp;$E56,Vérifications!$M$2:$M$1001,0)),""))</f>
      </c>
      <c r="G56" s="19">
        <f>IF($N56="","",IF(ISNUMBER($E56),EDATE($E56,$N56),IF(AND(ISNUMBER($U56),IFERROR(INDEX('Référentiel'!$E$2:$E$83,MATCH($C56,'Référentiel'!$A$2:$A$83,0)),0)&gt;0),EDATE($U56,IFERROR(INDEX('Référentiel'!$E$2:$E$83,MATCH($C56,'Référentiel'!$A$2:$A$83,0)),0)),"")))</f>
      </c>
      <c r="H56" s="21">
        <f>IF(ISNUMBER($G56),$G56-TODAY(),"")</f>
      </c>
      <c r="I56" s="20">
        <f>IF(AND($A56="",$C56=""),"",IF($T56="Non","Hors service",IF(AND($Q56="Location",ISNUMBER($R56),$R56&lt;TODAY()),"Location terminée",IF(OR($F56="Mise à l'arrêt",IF($A56="",0,SUMPRODUCT((Réserves!$B$2:$B$301=$A56)*(Réserves!$E$2:$E$301="Mise à l'arrêt")*(Réserves!$J$2:$J$301&lt;&gt;"Levée")*(Réserves!$J$2:$J$301&lt;&gt;"")))&gt;0),"Arrêt : réserve à lever",IF($C56="","Type à choisir",IF($N56="","Périodicité à saisir",IF(OR(ISTEXT($U56),ISTEXT($R56)),"Date à corriger",IF(AND($E56="",$Q56="Location",$S56&lt;&gt;"Oui"),"Rapport loueur à obtenir",IF(NOT(ISNUMBER($G56)),"Vérif. initiale à tracer",IF($H56&lt;0,"En retard",IF(AND($Q56="Location",$S56&lt;&gt;"Oui"),"Rapport loueur à obtenir",IF($H56&lt;='Tableau de bord'!$C$4,"À planifier","À jour"))))))))))))</f>
      </c>
      <c r="J56" s="22">
        <f>IF($A56="","",COUNTIFS(Réserves!$B$2:$B$301,$A56,Réserves!$J$2:$J$301,"Ouverte")+COUNTIFS(Réserves!$B$2:$B$301,$A56,Réserves!$J$2:$J$301,"En retard"))</f>
      </c>
      <c r="K56" s="20">
        <f>IF($C56="","",IFERROR(INDEX('Référentiel'!$B$2:$B$83,MATCH($C56,'Référentiel'!$A$2:$A$83,0)),"Type hors liste"))</f>
      </c>
      <c r="L56" s="22">
        <f>IF($C56="","",IF(IFERROR(INDEX('Référentiel'!$C$2:$C$83,MATCH($C56,'Référentiel'!$A$2:$A$83,0)),0)=0,"",IFERROR(INDEX('Référentiel'!$C$2:$C$83,MATCH($C56,'Référentiel'!$A$2:$A$83,0)),0)))</f>
      </c>
      <c r="M56" s="23"/>
      <c r="N56" s="22">
        <f>IF($C56="","",IF(IF($M56&lt;&gt;"",IF($L56&lt;&gt;"",MIN($L56,$M56),$M56),IF($L56&lt;&gt;"",$L56,IF(IFERROR(INDEX('Référentiel'!$D$2:$D$83,MATCH($C56,'Référentiel'!$A$2:$A$83,0)),0)&gt;0,IFERROR(INDEX('Référentiel'!$D$2:$D$83,MATCH($C56,'Référentiel'!$A$2:$A$83,0)),0),"")))="","",IF(AND(IFERROR(INDEX('Référentiel'!$F$2:$F$83,MATCH($C56,'Référentiel'!$A$2:$A$83,0)),0)&gt;0,N($J56)&gt;0),MIN(IF($M56&lt;&gt;"",IF($L56&lt;&gt;"",MIN($L56,$M56),$M56),IF($L56&lt;&gt;"",$L56,IF(IFERROR(INDEX('Référentiel'!$D$2:$D$83,MATCH($C56,'Référentiel'!$A$2:$A$83,0)),0)&gt;0,IFERROR(INDEX('Référentiel'!$D$2:$D$83,MATCH($C56,'Référentiel'!$A$2:$A$83,0)),0),""))),IFERROR(INDEX('Référentiel'!$F$2:$F$83,MATCH($C56,'Référentiel'!$A$2:$A$83,0)),0)),IF($M56&lt;&gt;"",IF($L56&lt;&gt;"",MIN($L56,$M56),$M56),IF($L56&lt;&gt;"",$L56,IF(IFERROR(INDEX('Référentiel'!$D$2:$D$83,MATCH($C56,'Référentiel'!$A$2:$A$83,0)),0)&gt;0,IFERROR(INDEX('Référentiel'!$D$2:$D$83,MATCH($C56,'Référentiel'!$A$2:$A$83,0)),0),""))))))</f>
      </c>
      <c r="O56" s="9"/>
      <c r="P56" s="23"/>
      <c r="Q56" s="9"/>
      <c r="R56" s="24"/>
      <c r="S56" s="23"/>
      <c r="T56" s="23"/>
      <c r="U56" s="24"/>
      <c r="V56" s="20">
        <f>IF($C56="","",IFERROR(INDEX('Référentiel'!$K$2:$K$83,MATCH($C56,'Référentiel'!$A$2:$A$83,0)),""))</f>
      </c>
      <c r="W56" s="20">
        <f>IF(AND(ISNUMBER($G56),$I56&lt;&gt;"Hors service",$I56&lt;&gt;"Location terminée"),$G56+ROW()/100000,"")</f>
      </c>
      <c r="X56" s="9"/>
    </row>
    <row r="57" spans="1:24" x14ac:dyDescent="0.25">
      <c r="A57" s="9"/>
      <c r="B57" s="9"/>
      <c r="C57" s="9"/>
      <c r="D57" s="9"/>
      <c r="E57" s="19">
        <f>IF($A57="","",IF(SUMPRODUCT(MAX((Vérifications!$B$2:$B$1001=$A57)*Vérifications!$L$2:$L$1001))=0,"",SUMPRODUCT(MAX((Vérifications!$B$2:$B$1001=$A57)*Vérifications!$L$2:$L$1001))))</f>
      </c>
      <c r="F57" s="20">
        <f>IF($E57="","",IFERROR(INDEX(Vérifications!$E$2:$E$1001,MATCH($A57&amp;"|"&amp;$E57,Vérifications!$M$2:$M$1001,0)),""))</f>
      </c>
      <c r="G57" s="19">
        <f>IF($N57="","",IF(ISNUMBER($E57),EDATE($E57,$N57),IF(AND(ISNUMBER($U57),IFERROR(INDEX('Référentiel'!$E$2:$E$83,MATCH($C57,'Référentiel'!$A$2:$A$83,0)),0)&gt;0),EDATE($U57,IFERROR(INDEX('Référentiel'!$E$2:$E$83,MATCH($C57,'Référentiel'!$A$2:$A$83,0)),0)),"")))</f>
      </c>
      <c r="H57" s="21">
        <f>IF(ISNUMBER($G57),$G57-TODAY(),"")</f>
      </c>
      <c r="I57" s="20">
        <f>IF(AND($A57="",$C57=""),"",IF($T57="Non","Hors service",IF(AND($Q57="Location",ISNUMBER($R57),$R57&lt;TODAY()),"Location terminée",IF(OR($F57="Mise à l'arrêt",IF($A57="",0,SUMPRODUCT((Réserves!$B$2:$B$301=$A57)*(Réserves!$E$2:$E$301="Mise à l'arrêt")*(Réserves!$J$2:$J$301&lt;&gt;"Levée")*(Réserves!$J$2:$J$301&lt;&gt;"")))&gt;0),"Arrêt : réserve à lever",IF($C57="","Type à choisir",IF($N57="","Périodicité à saisir",IF(OR(ISTEXT($U57),ISTEXT($R57)),"Date à corriger",IF(AND($E57="",$Q57="Location",$S57&lt;&gt;"Oui"),"Rapport loueur à obtenir",IF(NOT(ISNUMBER($G57)),"Vérif. initiale à tracer",IF($H57&lt;0,"En retard",IF(AND($Q57="Location",$S57&lt;&gt;"Oui"),"Rapport loueur à obtenir",IF($H57&lt;='Tableau de bord'!$C$4,"À planifier","À jour"))))))))))))</f>
      </c>
      <c r="J57" s="22">
        <f>IF($A57="","",COUNTIFS(Réserves!$B$2:$B$301,$A57,Réserves!$J$2:$J$301,"Ouverte")+COUNTIFS(Réserves!$B$2:$B$301,$A57,Réserves!$J$2:$J$301,"En retard"))</f>
      </c>
      <c r="K57" s="20">
        <f>IF($C57="","",IFERROR(INDEX('Référentiel'!$B$2:$B$83,MATCH($C57,'Référentiel'!$A$2:$A$83,0)),"Type hors liste"))</f>
      </c>
      <c r="L57" s="22">
        <f>IF($C57="","",IF(IFERROR(INDEX('Référentiel'!$C$2:$C$83,MATCH($C57,'Référentiel'!$A$2:$A$83,0)),0)=0,"",IFERROR(INDEX('Référentiel'!$C$2:$C$83,MATCH($C57,'Référentiel'!$A$2:$A$83,0)),0)))</f>
      </c>
      <c r="M57" s="23"/>
      <c r="N57" s="22">
        <f>IF($C57="","",IF(IF($M57&lt;&gt;"",IF($L57&lt;&gt;"",MIN($L57,$M57),$M57),IF($L57&lt;&gt;"",$L57,IF(IFERROR(INDEX('Référentiel'!$D$2:$D$83,MATCH($C57,'Référentiel'!$A$2:$A$83,0)),0)&gt;0,IFERROR(INDEX('Référentiel'!$D$2:$D$83,MATCH($C57,'Référentiel'!$A$2:$A$83,0)),0),"")))="","",IF(AND(IFERROR(INDEX('Référentiel'!$F$2:$F$83,MATCH($C57,'Référentiel'!$A$2:$A$83,0)),0)&gt;0,N($J57)&gt;0),MIN(IF($M57&lt;&gt;"",IF($L57&lt;&gt;"",MIN($L57,$M57),$M57),IF($L57&lt;&gt;"",$L57,IF(IFERROR(INDEX('Référentiel'!$D$2:$D$83,MATCH($C57,'Référentiel'!$A$2:$A$83,0)),0)&gt;0,IFERROR(INDEX('Référentiel'!$D$2:$D$83,MATCH($C57,'Référentiel'!$A$2:$A$83,0)),0),""))),IFERROR(INDEX('Référentiel'!$F$2:$F$83,MATCH($C57,'Référentiel'!$A$2:$A$83,0)),0)),IF($M57&lt;&gt;"",IF($L57&lt;&gt;"",MIN($L57,$M57),$M57),IF($L57&lt;&gt;"",$L57,IF(IFERROR(INDEX('Référentiel'!$D$2:$D$83,MATCH($C57,'Référentiel'!$A$2:$A$83,0)),0)&gt;0,IFERROR(INDEX('Référentiel'!$D$2:$D$83,MATCH($C57,'Référentiel'!$A$2:$A$83,0)),0),""))))))</f>
      </c>
      <c r="O57" s="9"/>
      <c r="P57" s="23"/>
      <c r="Q57" s="9"/>
      <c r="R57" s="24"/>
      <c r="S57" s="23"/>
      <c r="T57" s="23"/>
      <c r="U57" s="24"/>
      <c r="V57" s="20">
        <f>IF($C57="","",IFERROR(INDEX('Référentiel'!$K$2:$K$83,MATCH($C57,'Référentiel'!$A$2:$A$83,0)),""))</f>
      </c>
      <c r="W57" s="20">
        <f>IF(AND(ISNUMBER($G57),$I57&lt;&gt;"Hors service",$I57&lt;&gt;"Location terminée"),$G57+ROW()/100000,"")</f>
      </c>
      <c r="X57" s="9"/>
    </row>
    <row r="58" spans="1:24" x14ac:dyDescent="0.25">
      <c r="A58" s="9"/>
      <c r="B58" s="9"/>
      <c r="C58" s="9"/>
      <c r="D58" s="9"/>
      <c r="E58" s="19">
        <f>IF($A58="","",IF(SUMPRODUCT(MAX((Vérifications!$B$2:$B$1001=$A58)*Vérifications!$L$2:$L$1001))=0,"",SUMPRODUCT(MAX((Vérifications!$B$2:$B$1001=$A58)*Vérifications!$L$2:$L$1001))))</f>
      </c>
      <c r="F58" s="20">
        <f>IF($E58="","",IFERROR(INDEX(Vérifications!$E$2:$E$1001,MATCH($A58&amp;"|"&amp;$E58,Vérifications!$M$2:$M$1001,0)),""))</f>
      </c>
      <c r="G58" s="19">
        <f>IF($N58="","",IF(ISNUMBER($E58),EDATE($E58,$N58),IF(AND(ISNUMBER($U58),IFERROR(INDEX('Référentiel'!$E$2:$E$83,MATCH($C58,'Référentiel'!$A$2:$A$83,0)),0)&gt;0),EDATE($U58,IFERROR(INDEX('Référentiel'!$E$2:$E$83,MATCH($C58,'Référentiel'!$A$2:$A$83,0)),0)),"")))</f>
      </c>
      <c r="H58" s="21">
        <f>IF(ISNUMBER($G58),$G58-TODAY(),"")</f>
      </c>
      <c r="I58" s="20">
        <f>IF(AND($A58="",$C58=""),"",IF($T58="Non","Hors service",IF(AND($Q58="Location",ISNUMBER($R58),$R58&lt;TODAY()),"Location terminée",IF(OR($F58="Mise à l'arrêt",IF($A58="",0,SUMPRODUCT((Réserves!$B$2:$B$301=$A58)*(Réserves!$E$2:$E$301="Mise à l'arrêt")*(Réserves!$J$2:$J$301&lt;&gt;"Levée")*(Réserves!$J$2:$J$301&lt;&gt;"")))&gt;0),"Arrêt : réserve à lever",IF($C58="","Type à choisir",IF($N58="","Périodicité à saisir",IF(OR(ISTEXT($U58),ISTEXT($R58)),"Date à corriger",IF(AND($E58="",$Q58="Location",$S58&lt;&gt;"Oui"),"Rapport loueur à obtenir",IF(NOT(ISNUMBER($G58)),"Vérif. initiale à tracer",IF($H58&lt;0,"En retard",IF(AND($Q58="Location",$S58&lt;&gt;"Oui"),"Rapport loueur à obtenir",IF($H58&lt;='Tableau de bord'!$C$4,"À planifier","À jour"))))))))))))</f>
      </c>
      <c r="J58" s="22">
        <f>IF($A58="","",COUNTIFS(Réserves!$B$2:$B$301,$A58,Réserves!$J$2:$J$301,"Ouverte")+COUNTIFS(Réserves!$B$2:$B$301,$A58,Réserves!$J$2:$J$301,"En retard"))</f>
      </c>
      <c r="K58" s="20">
        <f>IF($C58="","",IFERROR(INDEX('Référentiel'!$B$2:$B$83,MATCH($C58,'Référentiel'!$A$2:$A$83,0)),"Type hors liste"))</f>
      </c>
      <c r="L58" s="22">
        <f>IF($C58="","",IF(IFERROR(INDEX('Référentiel'!$C$2:$C$83,MATCH($C58,'Référentiel'!$A$2:$A$83,0)),0)=0,"",IFERROR(INDEX('Référentiel'!$C$2:$C$83,MATCH($C58,'Référentiel'!$A$2:$A$83,0)),0)))</f>
      </c>
      <c r="M58" s="23"/>
      <c r="N58" s="22">
        <f>IF($C58="","",IF(IF($M58&lt;&gt;"",IF($L58&lt;&gt;"",MIN($L58,$M58),$M58),IF($L58&lt;&gt;"",$L58,IF(IFERROR(INDEX('Référentiel'!$D$2:$D$83,MATCH($C58,'Référentiel'!$A$2:$A$83,0)),0)&gt;0,IFERROR(INDEX('Référentiel'!$D$2:$D$83,MATCH($C58,'Référentiel'!$A$2:$A$83,0)),0),"")))="","",IF(AND(IFERROR(INDEX('Référentiel'!$F$2:$F$83,MATCH($C58,'Référentiel'!$A$2:$A$83,0)),0)&gt;0,N($J58)&gt;0),MIN(IF($M58&lt;&gt;"",IF($L58&lt;&gt;"",MIN($L58,$M58),$M58),IF($L58&lt;&gt;"",$L58,IF(IFERROR(INDEX('Référentiel'!$D$2:$D$83,MATCH($C58,'Référentiel'!$A$2:$A$83,0)),0)&gt;0,IFERROR(INDEX('Référentiel'!$D$2:$D$83,MATCH($C58,'Référentiel'!$A$2:$A$83,0)),0),""))),IFERROR(INDEX('Référentiel'!$F$2:$F$83,MATCH($C58,'Référentiel'!$A$2:$A$83,0)),0)),IF($M58&lt;&gt;"",IF($L58&lt;&gt;"",MIN($L58,$M58),$M58),IF($L58&lt;&gt;"",$L58,IF(IFERROR(INDEX('Référentiel'!$D$2:$D$83,MATCH($C58,'Référentiel'!$A$2:$A$83,0)),0)&gt;0,IFERROR(INDEX('Référentiel'!$D$2:$D$83,MATCH($C58,'Référentiel'!$A$2:$A$83,0)),0),""))))))</f>
      </c>
      <c r="O58" s="9"/>
      <c r="P58" s="23"/>
      <c r="Q58" s="9"/>
      <c r="R58" s="24"/>
      <c r="S58" s="23"/>
      <c r="T58" s="23"/>
      <c r="U58" s="24"/>
      <c r="V58" s="20">
        <f>IF($C58="","",IFERROR(INDEX('Référentiel'!$K$2:$K$83,MATCH($C58,'Référentiel'!$A$2:$A$83,0)),""))</f>
      </c>
      <c r="W58" s="20">
        <f>IF(AND(ISNUMBER($G58),$I58&lt;&gt;"Hors service",$I58&lt;&gt;"Location terminée"),$G58+ROW()/100000,"")</f>
      </c>
      <c r="X58" s="9"/>
    </row>
    <row r="59" spans="1:24" x14ac:dyDescent="0.25">
      <c r="A59" s="9"/>
      <c r="B59" s="9"/>
      <c r="C59" s="9"/>
      <c r="D59" s="9"/>
      <c r="E59" s="19">
        <f>IF($A59="","",IF(SUMPRODUCT(MAX((Vérifications!$B$2:$B$1001=$A59)*Vérifications!$L$2:$L$1001))=0,"",SUMPRODUCT(MAX((Vérifications!$B$2:$B$1001=$A59)*Vérifications!$L$2:$L$1001))))</f>
      </c>
      <c r="F59" s="20">
        <f>IF($E59="","",IFERROR(INDEX(Vérifications!$E$2:$E$1001,MATCH($A59&amp;"|"&amp;$E59,Vérifications!$M$2:$M$1001,0)),""))</f>
      </c>
      <c r="G59" s="19">
        <f>IF($N59="","",IF(ISNUMBER($E59),EDATE($E59,$N59),IF(AND(ISNUMBER($U59),IFERROR(INDEX('Référentiel'!$E$2:$E$83,MATCH($C59,'Référentiel'!$A$2:$A$83,0)),0)&gt;0),EDATE($U59,IFERROR(INDEX('Référentiel'!$E$2:$E$83,MATCH($C59,'Référentiel'!$A$2:$A$83,0)),0)),"")))</f>
      </c>
      <c r="H59" s="21">
        <f>IF(ISNUMBER($G59),$G59-TODAY(),"")</f>
      </c>
      <c r="I59" s="20">
        <f>IF(AND($A59="",$C59=""),"",IF($T59="Non","Hors service",IF(AND($Q59="Location",ISNUMBER($R59),$R59&lt;TODAY()),"Location terminée",IF(OR($F59="Mise à l'arrêt",IF($A59="",0,SUMPRODUCT((Réserves!$B$2:$B$301=$A59)*(Réserves!$E$2:$E$301="Mise à l'arrêt")*(Réserves!$J$2:$J$301&lt;&gt;"Levée")*(Réserves!$J$2:$J$301&lt;&gt;"")))&gt;0),"Arrêt : réserve à lever",IF($C59="","Type à choisir",IF($N59="","Périodicité à saisir",IF(OR(ISTEXT($U59),ISTEXT($R59)),"Date à corriger",IF(AND($E59="",$Q59="Location",$S59&lt;&gt;"Oui"),"Rapport loueur à obtenir",IF(NOT(ISNUMBER($G59)),"Vérif. initiale à tracer",IF($H59&lt;0,"En retard",IF(AND($Q59="Location",$S59&lt;&gt;"Oui"),"Rapport loueur à obtenir",IF($H59&lt;='Tableau de bord'!$C$4,"À planifier","À jour"))))))))))))</f>
      </c>
      <c r="J59" s="22">
        <f>IF($A59="","",COUNTIFS(Réserves!$B$2:$B$301,$A59,Réserves!$J$2:$J$301,"Ouverte")+COUNTIFS(Réserves!$B$2:$B$301,$A59,Réserves!$J$2:$J$301,"En retard"))</f>
      </c>
      <c r="K59" s="20">
        <f>IF($C59="","",IFERROR(INDEX('Référentiel'!$B$2:$B$83,MATCH($C59,'Référentiel'!$A$2:$A$83,0)),"Type hors liste"))</f>
      </c>
      <c r="L59" s="22">
        <f>IF($C59="","",IF(IFERROR(INDEX('Référentiel'!$C$2:$C$83,MATCH($C59,'Référentiel'!$A$2:$A$83,0)),0)=0,"",IFERROR(INDEX('Référentiel'!$C$2:$C$83,MATCH($C59,'Référentiel'!$A$2:$A$83,0)),0)))</f>
      </c>
      <c r="M59" s="23"/>
      <c r="N59" s="22">
        <f>IF($C59="","",IF(IF($M59&lt;&gt;"",IF($L59&lt;&gt;"",MIN($L59,$M59),$M59),IF($L59&lt;&gt;"",$L59,IF(IFERROR(INDEX('Référentiel'!$D$2:$D$83,MATCH($C59,'Référentiel'!$A$2:$A$83,0)),0)&gt;0,IFERROR(INDEX('Référentiel'!$D$2:$D$83,MATCH($C59,'Référentiel'!$A$2:$A$83,0)),0),"")))="","",IF(AND(IFERROR(INDEX('Référentiel'!$F$2:$F$83,MATCH($C59,'Référentiel'!$A$2:$A$83,0)),0)&gt;0,N($J59)&gt;0),MIN(IF($M59&lt;&gt;"",IF($L59&lt;&gt;"",MIN($L59,$M59),$M59),IF($L59&lt;&gt;"",$L59,IF(IFERROR(INDEX('Référentiel'!$D$2:$D$83,MATCH($C59,'Référentiel'!$A$2:$A$83,0)),0)&gt;0,IFERROR(INDEX('Référentiel'!$D$2:$D$83,MATCH($C59,'Référentiel'!$A$2:$A$83,0)),0),""))),IFERROR(INDEX('Référentiel'!$F$2:$F$83,MATCH($C59,'Référentiel'!$A$2:$A$83,0)),0)),IF($M59&lt;&gt;"",IF($L59&lt;&gt;"",MIN($L59,$M59),$M59),IF($L59&lt;&gt;"",$L59,IF(IFERROR(INDEX('Référentiel'!$D$2:$D$83,MATCH($C59,'Référentiel'!$A$2:$A$83,0)),0)&gt;0,IFERROR(INDEX('Référentiel'!$D$2:$D$83,MATCH($C59,'Référentiel'!$A$2:$A$83,0)),0),""))))))</f>
      </c>
      <c r="O59" s="9"/>
      <c r="P59" s="23"/>
      <c r="Q59" s="9"/>
      <c r="R59" s="24"/>
      <c r="S59" s="23"/>
      <c r="T59" s="23"/>
      <c r="U59" s="24"/>
      <c r="V59" s="20">
        <f>IF($C59="","",IFERROR(INDEX('Référentiel'!$K$2:$K$83,MATCH($C59,'Référentiel'!$A$2:$A$83,0)),""))</f>
      </c>
      <c r="W59" s="20">
        <f>IF(AND(ISNUMBER($G59),$I59&lt;&gt;"Hors service",$I59&lt;&gt;"Location terminée"),$G59+ROW()/100000,"")</f>
      </c>
      <c r="X59" s="9"/>
    </row>
    <row r="60" spans="1:24" x14ac:dyDescent="0.25">
      <c r="A60" s="9"/>
      <c r="B60" s="9"/>
      <c r="C60" s="9"/>
      <c r="D60" s="9"/>
      <c r="E60" s="19">
        <f>IF($A60="","",IF(SUMPRODUCT(MAX((Vérifications!$B$2:$B$1001=$A60)*Vérifications!$L$2:$L$1001))=0,"",SUMPRODUCT(MAX((Vérifications!$B$2:$B$1001=$A60)*Vérifications!$L$2:$L$1001))))</f>
      </c>
      <c r="F60" s="20">
        <f>IF($E60="","",IFERROR(INDEX(Vérifications!$E$2:$E$1001,MATCH($A60&amp;"|"&amp;$E60,Vérifications!$M$2:$M$1001,0)),""))</f>
      </c>
      <c r="G60" s="19">
        <f>IF($N60="","",IF(ISNUMBER($E60),EDATE($E60,$N60),IF(AND(ISNUMBER($U60),IFERROR(INDEX('Référentiel'!$E$2:$E$83,MATCH($C60,'Référentiel'!$A$2:$A$83,0)),0)&gt;0),EDATE($U60,IFERROR(INDEX('Référentiel'!$E$2:$E$83,MATCH($C60,'Référentiel'!$A$2:$A$83,0)),0)),"")))</f>
      </c>
      <c r="H60" s="21">
        <f>IF(ISNUMBER($G60),$G60-TODAY(),"")</f>
      </c>
      <c r="I60" s="20">
        <f>IF(AND($A60="",$C60=""),"",IF($T60="Non","Hors service",IF(AND($Q60="Location",ISNUMBER($R60),$R60&lt;TODAY()),"Location terminée",IF(OR($F60="Mise à l'arrêt",IF($A60="",0,SUMPRODUCT((Réserves!$B$2:$B$301=$A60)*(Réserves!$E$2:$E$301="Mise à l'arrêt")*(Réserves!$J$2:$J$301&lt;&gt;"Levée")*(Réserves!$J$2:$J$301&lt;&gt;"")))&gt;0),"Arrêt : réserve à lever",IF($C60="","Type à choisir",IF($N60="","Périodicité à saisir",IF(OR(ISTEXT($U60),ISTEXT($R60)),"Date à corriger",IF(AND($E60="",$Q60="Location",$S60&lt;&gt;"Oui"),"Rapport loueur à obtenir",IF(NOT(ISNUMBER($G60)),"Vérif. initiale à tracer",IF($H60&lt;0,"En retard",IF(AND($Q60="Location",$S60&lt;&gt;"Oui"),"Rapport loueur à obtenir",IF($H60&lt;='Tableau de bord'!$C$4,"À planifier","À jour"))))))))))))</f>
      </c>
      <c r="J60" s="22">
        <f>IF($A60="","",COUNTIFS(Réserves!$B$2:$B$301,$A60,Réserves!$J$2:$J$301,"Ouverte")+COUNTIFS(Réserves!$B$2:$B$301,$A60,Réserves!$J$2:$J$301,"En retard"))</f>
      </c>
      <c r="K60" s="20">
        <f>IF($C60="","",IFERROR(INDEX('Référentiel'!$B$2:$B$83,MATCH($C60,'Référentiel'!$A$2:$A$83,0)),"Type hors liste"))</f>
      </c>
      <c r="L60" s="22">
        <f>IF($C60="","",IF(IFERROR(INDEX('Référentiel'!$C$2:$C$83,MATCH($C60,'Référentiel'!$A$2:$A$83,0)),0)=0,"",IFERROR(INDEX('Référentiel'!$C$2:$C$83,MATCH($C60,'Référentiel'!$A$2:$A$83,0)),0)))</f>
      </c>
      <c r="M60" s="23"/>
      <c r="N60" s="22">
        <f>IF($C60="","",IF(IF($M60&lt;&gt;"",IF($L60&lt;&gt;"",MIN($L60,$M60),$M60),IF($L60&lt;&gt;"",$L60,IF(IFERROR(INDEX('Référentiel'!$D$2:$D$83,MATCH($C60,'Référentiel'!$A$2:$A$83,0)),0)&gt;0,IFERROR(INDEX('Référentiel'!$D$2:$D$83,MATCH($C60,'Référentiel'!$A$2:$A$83,0)),0),"")))="","",IF(AND(IFERROR(INDEX('Référentiel'!$F$2:$F$83,MATCH($C60,'Référentiel'!$A$2:$A$83,0)),0)&gt;0,N($J60)&gt;0),MIN(IF($M60&lt;&gt;"",IF($L60&lt;&gt;"",MIN($L60,$M60),$M60),IF($L60&lt;&gt;"",$L60,IF(IFERROR(INDEX('Référentiel'!$D$2:$D$83,MATCH($C60,'Référentiel'!$A$2:$A$83,0)),0)&gt;0,IFERROR(INDEX('Référentiel'!$D$2:$D$83,MATCH($C60,'Référentiel'!$A$2:$A$83,0)),0),""))),IFERROR(INDEX('Référentiel'!$F$2:$F$83,MATCH($C60,'Référentiel'!$A$2:$A$83,0)),0)),IF($M60&lt;&gt;"",IF($L60&lt;&gt;"",MIN($L60,$M60),$M60),IF($L60&lt;&gt;"",$L60,IF(IFERROR(INDEX('Référentiel'!$D$2:$D$83,MATCH($C60,'Référentiel'!$A$2:$A$83,0)),0)&gt;0,IFERROR(INDEX('Référentiel'!$D$2:$D$83,MATCH($C60,'Référentiel'!$A$2:$A$83,0)),0),""))))))</f>
      </c>
      <c r="O60" s="9"/>
      <c r="P60" s="23"/>
      <c r="Q60" s="9"/>
      <c r="R60" s="24"/>
      <c r="S60" s="23"/>
      <c r="T60" s="23"/>
      <c r="U60" s="24"/>
      <c r="V60" s="20">
        <f>IF($C60="","",IFERROR(INDEX('Référentiel'!$K$2:$K$83,MATCH($C60,'Référentiel'!$A$2:$A$83,0)),""))</f>
      </c>
      <c r="W60" s="20">
        <f>IF(AND(ISNUMBER($G60),$I60&lt;&gt;"Hors service",$I60&lt;&gt;"Location terminée"),$G60+ROW()/100000,"")</f>
      </c>
      <c r="X60" s="9"/>
    </row>
    <row r="61" spans="1:24" x14ac:dyDescent="0.25">
      <c r="A61" s="9"/>
      <c r="B61" s="9"/>
      <c r="C61" s="9"/>
      <c r="D61" s="9"/>
      <c r="E61" s="19">
        <f>IF($A61="","",IF(SUMPRODUCT(MAX((Vérifications!$B$2:$B$1001=$A61)*Vérifications!$L$2:$L$1001))=0,"",SUMPRODUCT(MAX((Vérifications!$B$2:$B$1001=$A61)*Vérifications!$L$2:$L$1001))))</f>
      </c>
      <c r="F61" s="20">
        <f>IF($E61="","",IFERROR(INDEX(Vérifications!$E$2:$E$1001,MATCH($A61&amp;"|"&amp;$E61,Vérifications!$M$2:$M$1001,0)),""))</f>
      </c>
      <c r="G61" s="19">
        <f>IF($N61="","",IF(ISNUMBER($E61),EDATE($E61,$N61),IF(AND(ISNUMBER($U61),IFERROR(INDEX('Référentiel'!$E$2:$E$83,MATCH($C61,'Référentiel'!$A$2:$A$83,0)),0)&gt;0),EDATE($U61,IFERROR(INDEX('Référentiel'!$E$2:$E$83,MATCH($C61,'Référentiel'!$A$2:$A$83,0)),0)),"")))</f>
      </c>
      <c r="H61" s="21">
        <f>IF(ISNUMBER($G61),$G61-TODAY(),"")</f>
      </c>
      <c r="I61" s="20">
        <f>IF(AND($A61="",$C61=""),"",IF($T61="Non","Hors service",IF(AND($Q61="Location",ISNUMBER($R61),$R61&lt;TODAY()),"Location terminée",IF(OR($F61="Mise à l'arrêt",IF($A61="",0,SUMPRODUCT((Réserves!$B$2:$B$301=$A61)*(Réserves!$E$2:$E$301="Mise à l'arrêt")*(Réserves!$J$2:$J$301&lt;&gt;"Levée")*(Réserves!$J$2:$J$301&lt;&gt;"")))&gt;0),"Arrêt : réserve à lever",IF($C61="","Type à choisir",IF($N61="","Périodicité à saisir",IF(OR(ISTEXT($U61),ISTEXT($R61)),"Date à corriger",IF(AND($E61="",$Q61="Location",$S61&lt;&gt;"Oui"),"Rapport loueur à obtenir",IF(NOT(ISNUMBER($G61)),"Vérif. initiale à tracer",IF($H61&lt;0,"En retard",IF(AND($Q61="Location",$S61&lt;&gt;"Oui"),"Rapport loueur à obtenir",IF($H61&lt;='Tableau de bord'!$C$4,"À planifier","À jour"))))))))))))</f>
      </c>
      <c r="J61" s="22">
        <f>IF($A61="","",COUNTIFS(Réserves!$B$2:$B$301,$A61,Réserves!$J$2:$J$301,"Ouverte")+COUNTIFS(Réserves!$B$2:$B$301,$A61,Réserves!$J$2:$J$301,"En retard"))</f>
      </c>
      <c r="K61" s="20">
        <f>IF($C61="","",IFERROR(INDEX('Référentiel'!$B$2:$B$83,MATCH($C61,'Référentiel'!$A$2:$A$83,0)),"Type hors liste"))</f>
      </c>
      <c r="L61" s="22">
        <f>IF($C61="","",IF(IFERROR(INDEX('Référentiel'!$C$2:$C$83,MATCH($C61,'Référentiel'!$A$2:$A$83,0)),0)=0,"",IFERROR(INDEX('Référentiel'!$C$2:$C$83,MATCH($C61,'Référentiel'!$A$2:$A$83,0)),0)))</f>
      </c>
      <c r="M61" s="23"/>
      <c r="N61" s="22">
        <f>IF($C61="","",IF(IF($M61&lt;&gt;"",IF($L61&lt;&gt;"",MIN($L61,$M61),$M61),IF($L61&lt;&gt;"",$L61,IF(IFERROR(INDEX('Référentiel'!$D$2:$D$83,MATCH($C61,'Référentiel'!$A$2:$A$83,0)),0)&gt;0,IFERROR(INDEX('Référentiel'!$D$2:$D$83,MATCH($C61,'Référentiel'!$A$2:$A$83,0)),0),"")))="","",IF(AND(IFERROR(INDEX('Référentiel'!$F$2:$F$83,MATCH($C61,'Référentiel'!$A$2:$A$83,0)),0)&gt;0,N($J61)&gt;0),MIN(IF($M61&lt;&gt;"",IF($L61&lt;&gt;"",MIN($L61,$M61),$M61),IF($L61&lt;&gt;"",$L61,IF(IFERROR(INDEX('Référentiel'!$D$2:$D$83,MATCH($C61,'Référentiel'!$A$2:$A$83,0)),0)&gt;0,IFERROR(INDEX('Référentiel'!$D$2:$D$83,MATCH($C61,'Référentiel'!$A$2:$A$83,0)),0),""))),IFERROR(INDEX('Référentiel'!$F$2:$F$83,MATCH($C61,'Référentiel'!$A$2:$A$83,0)),0)),IF($M61&lt;&gt;"",IF($L61&lt;&gt;"",MIN($L61,$M61),$M61),IF($L61&lt;&gt;"",$L61,IF(IFERROR(INDEX('Référentiel'!$D$2:$D$83,MATCH($C61,'Référentiel'!$A$2:$A$83,0)),0)&gt;0,IFERROR(INDEX('Référentiel'!$D$2:$D$83,MATCH($C61,'Référentiel'!$A$2:$A$83,0)),0),""))))))</f>
      </c>
      <c r="O61" s="9"/>
      <c r="P61" s="23"/>
      <c r="Q61" s="9"/>
      <c r="R61" s="24"/>
      <c r="S61" s="23"/>
      <c r="T61" s="23"/>
      <c r="U61" s="24"/>
      <c r="V61" s="20">
        <f>IF($C61="","",IFERROR(INDEX('Référentiel'!$K$2:$K$83,MATCH($C61,'Référentiel'!$A$2:$A$83,0)),""))</f>
      </c>
      <c r="W61" s="20">
        <f>IF(AND(ISNUMBER($G61),$I61&lt;&gt;"Hors service",$I61&lt;&gt;"Location terminée"),$G61+ROW()/100000,"")</f>
      </c>
      <c r="X61" s="9"/>
    </row>
    <row r="62" spans="1:24" x14ac:dyDescent="0.25">
      <c r="A62" s="9"/>
      <c r="B62" s="9"/>
      <c r="C62" s="9"/>
      <c r="D62" s="9"/>
      <c r="E62" s="19">
        <f>IF($A62="","",IF(SUMPRODUCT(MAX((Vérifications!$B$2:$B$1001=$A62)*Vérifications!$L$2:$L$1001))=0,"",SUMPRODUCT(MAX((Vérifications!$B$2:$B$1001=$A62)*Vérifications!$L$2:$L$1001))))</f>
      </c>
      <c r="F62" s="20">
        <f>IF($E62="","",IFERROR(INDEX(Vérifications!$E$2:$E$1001,MATCH($A62&amp;"|"&amp;$E62,Vérifications!$M$2:$M$1001,0)),""))</f>
      </c>
      <c r="G62" s="19">
        <f>IF($N62="","",IF(ISNUMBER($E62),EDATE($E62,$N62),IF(AND(ISNUMBER($U62),IFERROR(INDEX('Référentiel'!$E$2:$E$83,MATCH($C62,'Référentiel'!$A$2:$A$83,0)),0)&gt;0),EDATE($U62,IFERROR(INDEX('Référentiel'!$E$2:$E$83,MATCH($C62,'Référentiel'!$A$2:$A$83,0)),0)),"")))</f>
      </c>
      <c r="H62" s="21">
        <f>IF(ISNUMBER($G62),$G62-TODAY(),"")</f>
      </c>
      <c r="I62" s="20">
        <f>IF(AND($A62="",$C62=""),"",IF($T62="Non","Hors service",IF(AND($Q62="Location",ISNUMBER($R62),$R62&lt;TODAY()),"Location terminée",IF(OR($F62="Mise à l'arrêt",IF($A62="",0,SUMPRODUCT((Réserves!$B$2:$B$301=$A62)*(Réserves!$E$2:$E$301="Mise à l'arrêt")*(Réserves!$J$2:$J$301&lt;&gt;"Levée")*(Réserves!$J$2:$J$301&lt;&gt;"")))&gt;0),"Arrêt : réserve à lever",IF($C62="","Type à choisir",IF($N62="","Périodicité à saisir",IF(OR(ISTEXT($U62),ISTEXT($R62)),"Date à corriger",IF(AND($E62="",$Q62="Location",$S62&lt;&gt;"Oui"),"Rapport loueur à obtenir",IF(NOT(ISNUMBER($G62)),"Vérif. initiale à tracer",IF($H62&lt;0,"En retard",IF(AND($Q62="Location",$S62&lt;&gt;"Oui"),"Rapport loueur à obtenir",IF($H62&lt;='Tableau de bord'!$C$4,"À planifier","À jour"))))))))))))</f>
      </c>
      <c r="J62" s="22">
        <f>IF($A62="","",COUNTIFS(Réserves!$B$2:$B$301,$A62,Réserves!$J$2:$J$301,"Ouverte")+COUNTIFS(Réserves!$B$2:$B$301,$A62,Réserves!$J$2:$J$301,"En retard"))</f>
      </c>
      <c r="K62" s="20">
        <f>IF($C62="","",IFERROR(INDEX('Référentiel'!$B$2:$B$83,MATCH($C62,'Référentiel'!$A$2:$A$83,0)),"Type hors liste"))</f>
      </c>
      <c r="L62" s="22">
        <f>IF($C62="","",IF(IFERROR(INDEX('Référentiel'!$C$2:$C$83,MATCH($C62,'Référentiel'!$A$2:$A$83,0)),0)=0,"",IFERROR(INDEX('Référentiel'!$C$2:$C$83,MATCH($C62,'Référentiel'!$A$2:$A$83,0)),0)))</f>
      </c>
      <c r="M62" s="23"/>
      <c r="N62" s="22">
        <f>IF($C62="","",IF(IF($M62&lt;&gt;"",IF($L62&lt;&gt;"",MIN($L62,$M62),$M62),IF($L62&lt;&gt;"",$L62,IF(IFERROR(INDEX('Référentiel'!$D$2:$D$83,MATCH($C62,'Référentiel'!$A$2:$A$83,0)),0)&gt;0,IFERROR(INDEX('Référentiel'!$D$2:$D$83,MATCH($C62,'Référentiel'!$A$2:$A$83,0)),0),"")))="","",IF(AND(IFERROR(INDEX('Référentiel'!$F$2:$F$83,MATCH($C62,'Référentiel'!$A$2:$A$83,0)),0)&gt;0,N($J62)&gt;0),MIN(IF($M62&lt;&gt;"",IF($L62&lt;&gt;"",MIN($L62,$M62),$M62),IF($L62&lt;&gt;"",$L62,IF(IFERROR(INDEX('Référentiel'!$D$2:$D$83,MATCH($C62,'Référentiel'!$A$2:$A$83,0)),0)&gt;0,IFERROR(INDEX('Référentiel'!$D$2:$D$83,MATCH($C62,'Référentiel'!$A$2:$A$83,0)),0),""))),IFERROR(INDEX('Référentiel'!$F$2:$F$83,MATCH($C62,'Référentiel'!$A$2:$A$83,0)),0)),IF($M62&lt;&gt;"",IF($L62&lt;&gt;"",MIN($L62,$M62),$M62),IF($L62&lt;&gt;"",$L62,IF(IFERROR(INDEX('Référentiel'!$D$2:$D$83,MATCH($C62,'Référentiel'!$A$2:$A$83,0)),0)&gt;0,IFERROR(INDEX('Référentiel'!$D$2:$D$83,MATCH($C62,'Référentiel'!$A$2:$A$83,0)),0),""))))))</f>
      </c>
      <c r="O62" s="9"/>
      <c r="P62" s="23"/>
      <c r="Q62" s="9"/>
      <c r="R62" s="24"/>
      <c r="S62" s="23"/>
      <c r="T62" s="23"/>
      <c r="U62" s="24"/>
      <c r="V62" s="20">
        <f>IF($C62="","",IFERROR(INDEX('Référentiel'!$K$2:$K$83,MATCH($C62,'Référentiel'!$A$2:$A$83,0)),""))</f>
      </c>
      <c r="W62" s="20">
        <f>IF(AND(ISNUMBER($G62),$I62&lt;&gt;"Hors service",$I62&lt;&gt;"Location terminée"),$G62+ROW()/100000,"")</f>
      </c>
      <c r="X62" s="9"/>
    </row>
    <row r="63" spans="1:24" x14ac:dyDescent="0.25">
      <c r="A63" s="9"/>
      <c r="B63" s="9"/>
      <c r="C63" s="9"/>
      <c r="D63" s="9"/>
      <c r="E63" s="19">
        <f>IF($A63="","",IF(SUMPRODUCT(MAX((Vérifications!$B$2:$B$1001=$A63)*Vérifications!$L$2:$L$1001))=0,"",SUMPRODUCT(MAX((Vérifications!$B$2:$B$1001=$A63)*Vérifications!$L$2:$L$1001))))</f>
      </c>
      <c r="F63" s="20">
        <f>IF($E63="","",IFERROR(INDEX(Vérifications!$E$2:$E$1001,MATCH($A63&amp;"|"&amp;$E63,Vérifications!$M$2:$M$1001,0)),""))</f>
      </c>
      <c r="G63" s="19">
        <f>IF($N63="","",IF(ISNUMBER($E63),EDATE($E63,$N63),IF(AND(ISNUMBER($U63),IFERROR(INDEX('Référentiel'!$E$2:$E$83,MATCH($C63,'Référentiel'!$A$2:$A$83,0)),0)&gt;0),EDATE($U63,IFERROR(INDEX('Référentiel'!$E$2:$E$83,MATCH($C63,'Référentiel'!$A$2:$A$83,0)),0)),"")))</f>
      </c>
      <c r="H63" s="21">
        <f>IF(ISNUMBER($G63),$G63-TODAY(),"")</f>
      </c>
      <c r="I63" s="20">
        <f>IF(AND($A63="",$C63=""),"",IF($T63="Non","Hors service",IF(AND($Q63="Location",ISNUMBER($R63),$R63&lt;TODAY()),"Location terminée",IF(OR($F63="Mise à l'arrêt",IF($A63="",0,SUMPRODUCT((Réserves!$B$2:$B$301=$A63)*(Réserves!$E$2:$E$301="Mise à l'arrêt")*(Réserves!$J$2:$J$301&lt;&gt;"Levée")*(Réserves!$J$2:$J$301&lt;&gt;"")))&gt;0),"Arrêt : réserve à lever",IF($C63="","Type à choisir",IF($N63="","Périodicité à saisir",IF(OR(ISTEXT($U63),ISTEXT($R63)),"Date à corriger",IF(AND($E63="",$Q63="Location",$S63&lt;&gt;"Oui"),"Rapport loueur à obtenir",IF(NOT(ISNUMBER($G63)),"Vérif. initiale à tracer",IF($H63&lt;0,"En retard",IF(AND($Q63="Location",$S63&lt;&gt;"Oui"),"Rapport loueur à obtenir",IF($H63&lt;='Tableau de bord'!$C$4,"À planifier","À jour"))))))))))))</f>
      </c>
      <c r="J63" s="22">
        <f>IF($A63="","",COUNTIFS(Réserves!$B$2:$B$301,$A63,Réserves!$J$2:$J$301,"Ouverte")+COUNTIFS(Réserves!$B$2:$B$301,$A63,Réserves!$J$2:$J$301,"En retard"))</f>
      </c>
      <c r="K63" s="20">
        <f>IF($C63="","",IFERROR(INDEX('Référentiel'!$B$2:$B$83,MATCH($C63,'Référentiel'!$A$2:$A$83,0)),"Type hors liste"))</f>
      </c>
      <c r="L63" s="22">
        <f>IF($C63="","",IF(IFERROR(INDEX('Référentiel'!$C$2:$C$83,MATCH($C63,'Référentiel'!$A$2:$A$83,0)),0)=0,"",IFERROR(INDEX('Référentiel'!$C$2:$C$83,MATCH($C63,'Référentiel'!$A$2:$A$83,0)),0)))</f>
      </c>
      <c r="M63" s="23"/>
      <c r="N63" s="22">
        <f>IF($C63="","",IF(IF($M63&lt;&gt;"",IF($L63&lt;&gt;"",MIN($L63,$M63),$M63),IF($L63&lt;&gt;"",$L63,IF(IFERROR(INDEX('Référentiel'!$D$2:$D$83,MATCH($C63,'Référentiel'!$A$2:$A$83,0)),0)&gt;0,IFERROR(INDEX('Référentiel'!$D$2:$D$83,MATCH($C63,'Référentiel'!$A$2:$A$83,0)),0),"")))="","",IF(AND(IFERROR(INDEX('Référentiel'!$F$2:$F$83,MATCH($C63,'Référentiel'!$A$2:$A$83,0)),0)&gt;0,N($J63)&gt;0),MIN(IF($M63&lt;&gt;"",IF($L63&lt;&gt;"",MIN($L63,$M63),$M63),IF($L63&lt;&gt;"",$L63,IF(IFERROR(INDEX('Référentiel'!$D$2:$D$83,MATCH($C63,'Référentiel'!$A$2:$A$83,0)),0)&gt;0,IFERROR(INDEX('Référentiel'!$D$2:$D$83,MATCH($C63,'Référentiel'!$A$2:$A$83,0)),0),""))),IFERROR(INDEX('Référentiel'!$F$2:$F$83,MATCH($C63,'Référentiel'!$A$2:$A$83,0)),0)),IF($M63&lt;&gt;"",IF($L63&lt;&gt;"",MIN($L63,$M63),$M63),IF($L63&lt;&gt;"",$L63,IF(IFERROR(INDEX('Référentiel'!$D$2:$D$83,MATCH($C63,'Référentiel'!$A$2:$A$83,0)),0)&gt;0,IFERROR(INDEX('Référentiel'!$D$2:$D$83,MATCH($C63,'Référentiel'!$A$2:$A$83,0)),0),""))))))</f>
      </c>
      <c r="O63" s="9"/>
      <c r="P63" s="23"/>
      <c r="Q63" s="9"/>
      <c r="R63" s="24"/>
      <c r="S63" s="23"/>
      <c r="T63" s="23"/>
      <c r="U63" s="24"/>
      <c r="V63" s="20">
        <f>IF($C63="","",IFERROR(INDEX('Référentiel'!$K$2:$K$83,MATCH($C63,'Référentiel'!$A$2:$A$83,0)),""))</f>
      </c>
      <c r="W63" s="20">
        <f>IF(AND(ISNUMBER($G63),$I63&lt;&gt;"Hors service",$I63&lt;&gt;"Location terminée"),$G63+ROW()/100000,"")</f>
      </c>
      <c r="X63" s="9"/>
    </row>
    <row r="64" spans="1:24" x14ac:dyDescent="0.25">
      <c r="A64" s="9"/>
      <c r="B64" s="9"/>
      <c r="C64" s="9"/>
      <c r="D64" s="9"/>
      <c r="E64" s="19">
        <f>IF($A64="","",IF(SUMPRODUCT(MAX((Vérifications!$B$2:$B$1001=$A64)*Vérifications!$L$2:$L$1001))=0,"",SUMPRODUCT(MAX((Vérifications!$B$2:$B$1001=$A64)*Vérifications!$L$2:$L$1001))))</f>
      </c>
      <c r="F64" s="20">
        <f>IF($E64="","",IFERROR(INDEX(Vérifications!$E$2:$E$1001,MATCH($A64&amp;"|"&amp;$E64,Vérifications!$M$2:$M$1001,0)),""))</f>
      </c>
      <c r="G64" s="19">
        <f>IF($N64="","",IF(ISNUMBER($E64),EDATE($E64,$N64),IF(AND(ISNUMBER($U64),IFERROR(INDEX('Référentiel'!$E$2:$E$83,MATCH($C64,'Référentiel'!$A$2:$A$83,0)),0)&gt;0),EDATE($U64,IFERROR(INDEX('Référentiel'!$E$2:$E$83,MATCH($C64,'Référentiel'!$A$2:$A$83,0)),0)),"")))</f>
      </c>
      <c r="H64" s="21">
        <f>IF(ISNUMBER($G64),$G64-TODAY(),"")</f>
      </c>
      <c r="I64" s="20">
        <f>IF(AND($A64="",$C64=""),"",IF($T64="Non","Hors service",IF(AND($Q64="Location",ISNUMBER($R64),$R64&lt;TODAY()),"Location terminée",IF(OR($F64="Mise à l'arrêt",IF($A64="",0,SUMPRODUCT((Réserves!$B$2:$B$301=$A64)*(Réserves!$E$2:$E$301="Mise à l'arrêt")*(Réserves!$J$2:$J$301&lt;&gt;"Levée")*(Réserves!$J$2:$J$301&lt;&gt;"")))&gt;0),"Arrêt : réserve à lever",IF($C64="","Type à choisir",IF($N64="","Périodicité à saisir",IF(OR(ISTEXT($U64),ISTEXT($R64)),"Date à corriger",IF(AND($E64="",$Q64="Location",$S64&lt;&gt;"Oui"),"Rapport loueur à obtenir",IF(NOT(ISNUMBER($G64)),"Vérif. initiale à tracer",IF($H64&lt;0,"En retard",IF(AND($Q64="Location",$S64&lt;&gt;"Oui"),"Rapport loueur à obtenir",IF($H64&lt;='Tableau de bord'!$C$4,"À planifier","À jour"))))))))))))</f>
      </c>
      <c r="J64" s="22">
        <f>IF($A64="","",COUNTIFS(Réserves!$B$2:$B$301,$A64,Réserves!$J$2:$J$301,"Ouverte")+COUNTIFS(Réserves!$B$2:$B$301,$A64,Réserves!$J$2:$J$301,"En retard"))</f>
      </c>
      <c r="K64" s="20">
        <f>IF($C64="","",IFERROR(INDEX('Référentiel'!$B$2:$B$83,MATCH($C64,'Référentiel'!$A$2:$A$83,0)),"Type hors liste"))</f>
      </c>
      <c r="L64" s="22">
        <f>IF($C64="","",IF(IFERROR(INDEX('Référentiel'!$C$2:$C$83,MATCH($C64,'Référentiel'!$A$2:$A$83,0)),0)=0,"",IFERROR(INDEX('Référentiel'!$C$2:$C$83,MATCH($C64,'Référentiel'!$A$2:$A$83,0)),0)))</f>
      </c>
      <c r="M64" s="23"/>
      <c r="N64" s="22">
        <f>IF($C64="","",IF(IF($M64&lt;&gt;"",IF($L64&lt;&gt;"",MIN($L64,$M64),$M64),IF($L64&lt;&gt;"",$L64,IF(IFERROR(INDEX('Référentiel'!$D$2:$D$83,MATCH($C64,'Référentiel'!$A$2:$A$83,0)),0)&gt;0,IFERROR(INDEX('Référentiel'!$D$2:$D$83,MATCH($C64,'Référentiel'!$A$2:$A$83,0)),0),"")))="","",IF(AND(IFERROR(INDEX('Référentiel'!$F$2:$F$83,MATCH($C64,'Référentiel'!$A$2:$A$83,0)),0)&gt;0,N($J64)&gt;0),MIN(IF($M64&lt;&gt;"",IF($L64&lt;&gt;"",MIN($L64,$M64),$M64),IF($L64&lt;&gt;"",$L64,IF(IFERROR(INDEX('Référentiel'!$D$2:$D$83,MATCH($C64,'Référentiel'!$A$2:$A$83,0)),0)&gt;0,IFERROR(INDEX('Référentiel'!$D$2:$D$83,MATCH($C64,'Référentiel'!$A$2:$A$83,0)),0),""))),IFERROR(INDEX('Référentiel'!$F$2:$F$83,MATCH($C64,'Référentiel'!$A$2:$A$83,0)),0)),IF($M64&lt;&gt;"",IF($L64&lt;&gt;"",MIN($L64,$M64),$M64),IF($L64&lt;&gt;"",$L64,IF(IFERROR(INDEX('Référentiel'!$D$2:$D$83,MATCH($C64,'Référentiel'!$A$2:$A$83,0)),0)&gt;0,IFERROR(INDEX('Référentiel'!$D$2:$D$83,MATCH($C64,'Référentiel'!$A$2:$A$83,0)),0),""))))))</f>
      </c>
      <c r="O64" s="9"/>
      <c r="P64" s="23"/>
      <c r="Q64" s="9"/>
      <c r="R64" s="24"/>
      <c r="S64" s="23"/>
      <c r="T64" s="23"/>
      <c r="U64" s="24"/>
      <c r="V64" s="20">
        <f>IF($C64="","",IFERROR(INDEX('Référentiel'!$K$2:$K$83,MATCH($C64,'Référentiel'!$A$2:$A$83,0)),""))</f>
      </c>
      <c r="W64" s="20">
        <f>IF(AND(ISNUMBER($G64),$I64&lt;&gt;"Hors service",$I64&lt;&gt;"Location terminée"),$G64+ROW()/100000,"")</f>
      </c>
      <c r="X64" s="9"/>
    </row>
    <row r="65" spans="1:24" x14ac:dyDescent="0.25">
      <c r="A65" s="9"/>
      <c r="B65" s="9"/>
      <c r="C65" s="9"/>
      <c r="D65" s="9"/>
      <c r="E65" s="19">
        <f>IF($A65="","",IF(SUMPRODUCT(MAX((Vérifications!$B$2:$B$1001=$A65)*Vérifications!$L$2:$L$1001))=0,"",SUMPRODUCT(MAX((Vérifications!$B$2:$B$1001=$A65)*Vérifications!$L$2:$L$1001))))</f>
      </c>
      <c r="F65" s="20">
        <f>IF($E65="","",IFERROR(INDEX(Vérifications!$E$2:$E$1001,MATCH($A65&amp;"|"&amp;$E65,Vérifications!$M$2:$M$1001,0)),""))</f>
      </c>
      <c r="G65" s="19">
        <f>IF($N65="","",IF(ISNUMBER($E65),EDATE($E65,$N65),IF(AND(ISNUMBER($U65),IFERROR(INDEX('Référentiel'!$E$2:$E$83,MATCH($C65,'Référentiel'!$A$2:$A$83,0)),0)&gt;0),EDATE($U65,IFERROR(INDEX('Référentiel'!$E$2:$E$83,MATCH($C65,'Référentiel'!$A$2:$A$83,0)),0)),"")))</f>
      </c>
      <c r="H65" s="21">
        <f>IF(ISNUMBER($G65),$G65-TODAY(),"")</f>
      </c>
      <c r="I65" s="20">
        <f>IF(AND($A65="",$C65=""),"",IF($T65="Non","Hors service",IF(AND($Q65="Location",ISNUMBER($R65),$R65&lt;TODAY()),"Location terminée",IF(OR($F65="Mise à l'arrêt",IF($A65="",0,SUMPRODUCT((Réserves!$B$2:$B$301=$A65)*(Réserves!$E$2:$E$301="Mise à l'arrêt")*(Réserves!$J$2:$J$301&lt;&gt;"Levée")*(Réserves!$J$2:$J$301&lt;&gt;"")))&gt;0),"Arrêt : réserve à lever",IF($C65="","Type à choisir",IF($N65="","Périodicité à saisir",IF(OR(ISTEXT($U65),ISTEXT($R65)),"Date à corriger",IF(AND($E65="",$Q65="Location",$S65&lt;&gt;"Oui"),"Rapport loueur à obtenir",IF(NOT(ISNUMBER($G65)),"Vérif. initiale à tracer",IF($H65&lt;0,"En retard",IF(AND($Q65="Location",$S65&lt;&gt;"Oui"),"Rapport loueur à obtenir",IF($H65&lt;='Tableau de bord'!$C$4,"À planifier","À jour"))))))))))))</f>
      </c>
      <c r="J65" s="22">
        <f>IF($A65="","",COUNTIFS(Réserves!$B$2:$B$301,$A65,Réserves!$J$2:$J$301,"Ouverte")+COUNTIFS(Réserves!$B$2:$B$301,$A65,Réserves!$J$2:$J$301,"En retard"))</f>
      </c>
      <c r="K65" s="20">
        <f>IF($C65="","",IFERROR(INDEX('Référentiel'!$B$2:$B$83,MATCH($C65,'Référentiel'!$A$2:$A$83,0)),"Type hors liste"))</f>
      </c>
      <c r="L65" s="22">
        <f>IF($C65="","",IF(IFERROR(INDEX('Référentiel'!$C$2:$C$83,MATCH($C65,'Référentiel'!$A$2:$A$83,0)),0)=0,"",IFERROR(INDEX('Référentiel'!$C$2:$C$83,MATCH($C65,'Référentiel'!$A$2:$A$83,0)),0)))</f>
      </c>
      <c r="M65" s="23"/>
      <c r="N65" s="22">
        <f>IF($C65="","",IF(IF($M65&lt;&gt;"",IF($L65&lt;&gt;"",MIN($L65,$M65),$M65),IF($L65&lt;&gt;"",$L65,IF(IFERROR(INDEX('Référentiel'!$D$2:$D$83,MATCH($C65,'Référentiel'!$A$2:$A$83,0)),0)&gt;0,IFERROR(INDEX('Référentiel'!$D$2:$D$83,MATCH($C65,'Référentiel'!$A$2:$A$83,0)),0),"")))="","",IF(AND(IFERROR(INDEX('Référentiel'!$F$2:$F$83,MATCH($C65,'Référentiel'!$A$2:$A$83,0)),0)&gt;0,N($J65)&gt;0),MIN(IF($M65&lt;&gt;"",IF($L65&lt;&gt;"",MIN($L65,$M65),$M65),IF($L65&lt;&gt;"",$L65,IF(IFERROR(INDEX('Référentiel'!$D$2:$D$83,MATCH($C65,'Référentiel'!$A$2:$A$83,0)),0)&gt;0,IFERROR(INDEX('Référentiel'!$D$2:$D$83,MATCH($C65,'Référentiel'!$A$2:$A$83,0)),0),""))),IFERROR(INDEX('Référentiel'!$F$2:$F$83,MATCH($C65,'Référentiel'!$A$2:$A$83,0)),0)),IF($M65&lt;&gt;"",IF($L65&lt;&gt;"",MIN($L65,$M65),$M65),IF($L65&lt;&gt;"",$L65,IF(IFERROR(INDEX('Référentiel'!$D$2:$D$83,MATCH($C65,'Référentiel'!$A$2:$A$83,0)),0)&gt;0,IFERROR(INDEX('Référentiel'!$D$2:$D$83,MATCH($C65,'Référentiel'!$A$2:$A$83,0)),0),""))))))</f>
      </c>
      <c r="O65" s="9"/>
      <c r="P65" s="23"/>
      <c r="Q65" s="9"/>
      <c r="R65" s="24"/>
      <c r="S65" s="23"/>
      <c r="T65" s="23"/>
      <c r="U65" s="24"/>
      <c r="V65" s="20">
        <f>IF($C65="","",IFERROR(INDEX('Référentiel'!$K$2:$K$83,MATCH($C65,'Référentiel'!$A$2:$A$83,0)),""))</f>
      </c>
      <c r="W65" s="20">
        <f>IF(AND(ISNUMBER($G65),$I65&lt;&gt;"Hors service",$I65&lt;&gt;"Location terminée"),$G65+ROW()/100000,"")</f>
      </c>
      <c r="X65" s="9"/>
    </row>
    <row r="66" spans="1:24" x14ac:dyDescent="0.25">
      <c r="A66" s="9"/>
      <c r="B66" s="9"/>
      <c r="C66" s="9"/>
      <c r="D66" s="9"/>
      <c r="E66" s="19">
        <f>IF($A66="","",IF(SUMPRODUCT(MAX((Vérifications!$B$2:$B$1001=$A66)*Vérifications!$L$2:$L$1001))=0,"",SUMPRODUCT(MAX((Vérifications!$B$2:$B$1001=$A66)*Vérifications!$L$2:$L$1001))))</f>
      </c>
      <c r="F66" s="20">
        <f>IF($E66="","",IFERROR(INDEX(Vérifications!$E$2:$E$1001,MATCH($A66&amp;"|"&amp;$E66,Vérifications!$M$2:$M$1001,0)),""))</f>
      </c>
      <c r="G66" s="19">
        <f>IF($N66="","",IF(ISNUMBER($E66),EDATE($E66,$N66),IF(AND(ISNUMBER($U66),IFERROR(INDEX('Référentiel'!$E$2:$E$83,MATCH($C66,'Référentiel'!$A$2:$A$83,0)),0)&gt;0),EDATE($U66,IFERROR(INDEX('Référentiel'!$E$2:$E$83,MATCH($C66,'Référentiel'!$A$2:$A$83,0)),0)),"")))</f>
      </c>
      <c r="H66" s="21">
        <f>IF(ISNUMBER($G66),$G66-TODAY(),"")</f>
      </c>
      <c r="I66" s="20">
        <f>IF(AND($A66="",$C66=""),"",IF($T66="Non","Hors service",IF(AND($Q66="Location",ISNUMBER($R66),$R66&lt;TODAY()),"Location terminée",IF(OR($F66="Mise à l'arrêt",IF($A66="",0,SUMPRODUCT((Réserves!$B$2:$B$301=$A66)*(Réserves!$E$2:$E$301="Mise à l'arrêt")*(Réserves!$J$2:$J$301&lt;&gt;"Levée")*(Réserves!$J$2:$J$301&lt;&gt;"")))&gt;0),"Arrêt : réserve à lever",IF($C66="","Type à choisir",IF($N66="","Périodicité à saisir",IF(OR(ISTEXT($U66),ISTEXT($R66)),"Date à corriger",IF(AND($E66="",$Q66="Location",$S66&lt;&gt;"Oui"),"Rapport loueur à obtenir",IF(NOT(ISNUMBER($G66)),"Vérif. initiale à tracer",IF($H66&lt;0,"En retard",IF(AND($Q66="Location",$S66&lt;&gt;"Oui"),"Rapport loueur à obtenir",IF($H66&lt;='Tableau de bord'!$C$4,"À planifier","À jour"))))))))))))</f>
      </c>
      <c r="J66" s="22">
        <f>IF($A66="","",COUNTIFS(Réserves!$B$2:$B$301,$A66,Réserves!$J$2:$J$301,"Ouverte")+COUNTIFS(Réserves!$B$2:$B$301,$A66,Réserves!$J$2:$J$301,"En retard"))</f>
      </c>
      <c r="K66" s="20">
        <f>IF($C66="","",IFERROR(INDEX('Référentiel'!$B$2:$B$83,MATCH($C66,'Référentiel'!$A$2:$A$83,0)),"Type hors liste"))</f>
      </c>
      <c r="L66" s="22">
        <f>IF($C66="","",IF(IFERROR(INDEX('Référentiel'!$C$2:$C$83,MATCH($C66,'Référentiel'!$A$2:$A$83,0)),0)=0,"",IFERROR(INDEX('Référentiel'!$C$2:$C$83,MATCH($C66,'Référentiel'!$A$2:$A$83,0)),0)))</f>
      </c>
      <c r="M66" s="23"/>
      <c r="N66" s="22">
        <f>IF($C66="","",IF(IF($M66&lt;&gt;"",IF($L66&lt;&gt;"",MIN($L66,$M66),$M66),IF($L66&lt;&gt;"",$L66,IF(IFERROR(INDEX('Référentiel'!$D$2:$D$83,MATCH($C66,'Référentiel'!$A$2:$A$83,0)),0)&gt;0,IFERROR(INDEX('Référentiel'!$D$2:$D$83,MATCH($C66,'Référentiel'!$A$2:$A$83,0)),0),"")))="","",IF(AND(IFERROR(INDEX('Référentiel'!$F$2:$F$83,MATCH($C66,'Référentiel'!$A$2:$A$83,0)),0)&gt;0,N($J66)&gt;0),MIN(IF($M66&lt;&gt;"",IF($L66&lt;&gt;"",MIN($L66,$M66),$M66),IF($L66&lt;&gt;"",$L66,IF(IFERROR(INDEX('Référentiel'!$D$2:$D$83,MATCH($C66,'Référentiel'!$A$2:$A$83,0)),0)&gt;0,IFERROR(INDEX('Référentiel'!$D$2:$D$83,MATCH($C66,'Référentiel'!$A$2:$A$83,0)),0),""))),IFERROR(INDEX('Référentiel'!$F$2:$F$83,MATCH($C66,'Référentiel'!$A$2:$A$83,0)),0)),IF($M66&lt;&gt;"",IF($L66&lt;&gt;"",MIN($L66,$M66),$M66),IF($L66&lt;&gt;"",$L66,IF(IFERROR(INDEX('Référentiel'!$D$2:$D$83,MATCH($C66,'Référentiel'!$A$2:$A$83,0)),0)&gt;0,IFERROR(INDEX('Référentiel'!$D$2:$D$83,MATCH($C66,'Référentiel'!$A$2:$A$83,0)),0),""))))))</f>
      </c>
      <c r="O66" s="9"/>
      <c r="P66" s="23"/>
      <c r="Q66" s="9"/>
      <c r="R66" s="24"/>
      <c r="S66" s="23"/>
      <c r="T66" s="23"/>
      <c r="U66" s="24"/>
      <c r="V66" s="20">
        <f>IF($C66="","",IFERROR(INDEX('Référentiel'!$K$2:$K$83,MATCH($C66,'Référentiel'!$A$2:$A$83,0)),""))</f>
      </c>
      <c r="W66" s="20">
        <f>IF(AND(ISNUMBER($G66),$I66&lt;&gt;"Hors service",$I66&lt;&gt;"Location terminée"),$G66+ROW()/100000,"")</f>
      </c>
      <c r="X66" s="9"/>
    </row>
    <row r="67" spans="1:24" x14ac:dyDescent="0.25">
      <c r="A67" s="9"/>
      <c r="B67" s="9"/>
      <c r="C67" s="9"/>
      <c r="D67" s="9"/>
      <c r="E67" s="19">
        <f>IF($A67="","",IF(SUMPRODUCT(MAX((Vérifications!$B$2:$B$1001=$A67)*Vérifications!$L$2:$L$1001))=0,"",SUMPRODUCT(MAX((Vérifications!$B$2:$B$1001=$A67)*Vérifications!$L$2:$L$1001))))</f>
      </c>
      <c r="F67" s="20">
        <f>IF($E67="","",IFERROR(INDEX(Vérifications!$E$2:$E$1001,MATCH($A67&amp;"|"&amp;$E67,Vérifications!$M$2:$M$1001,0)),""))</f>
      </c>
      <c r="G67" s="19">
        <f>IF($N67="","",IF(ISNUMBER($E67),EDATE($E67,$N67),IF(AND(ISNUMBER($U67),IFERROR(INDEX('Référentiel'!$E$2:$E$83,MATCH($C67,'Référentiel'!$A$2:$A$83,0)),0)&gt;0),EDATE($U67,IFERROR(INDEX('Référentiel'!$E$2:$E$83,MATCH($C67,'Référentiel'!$A$2:$A$83,0)),0)),"")))</f>
      </c>
      <c r="H67" s="21">
        <f>IF(ISNUMBER($G67),$G67-TODAY(),"")</f>
      </c>
      <c r="I67" s="20">
        <f>IF(AND($A67="",$C67=""),"",IF($T67="Non","Hors service",IF(AND($Q67="Location",ISNUMBER($R67),$R67&lt;TODAY()),"Location terminée",IF(OR($F67="Mise à l'arrêt",IF($A67="",0,SUMPRODUCT((Réserves!$B$2:$B$301=$A67)*(Réserves!$E$2:$E$301="Mise à l'arrêt")*(Réserves!$J$2:$J$301&lt;&gt;"Levée")*(Réserves!$J$2:$J$301&lt;&gt;"")))&gt;0),"Arrêt : réserve à lever",IF($C67="","Type à choisir",IF($N67="","Périodicité à saisir",IF(OR(ISTEXT($U67),ISTEXT($R67)),"Date à corriger",IF(AND($E67="",$Q67="Location",$S67&lt;&gt;"Oui"),"Rapport loueur à obtenir",IF(NOT(ISNUMBER($G67)),"Vérif. initiale à tracer",IF($H67&lt;0,"En retard",IF(AND($Q67="Location",$S67&lt;&gt;"Oui"),"Rapport loueur à obtenir",IF($H67&lt;='Tableau de bord'!$C$4,"À planifier","À jour"))))))))))))</f>
      </c>
      <c r="J67" s="22">
        <f>IF($A67="","",COUNTIFS(Réserves!$B$2:$B$301,$A67,Réserves!$J$2:$J$301,"Ouverte")+COUNTIFS(Réserves!$B$2:$B$301,$A67,Réserves!$J$2:$J$301,"En retard"))</f>
      </c>
      <c r="K67" s="20">
        <f>IF($C67="","",IFERROR(INDEX('Référentiel'!$B$2:$B$83,MATCH($C67,'Référentiel'!$A$2:$A$83,0)),"Type hors liste"))</f>
      </c>
      <c r="L67" s="22">
        <f>IF($C67="","",IF(IFERROR(INDEX('Référentiel'!$C$2:$C$83,MATCH($C67,'Référentiel'!$A$2:$A$83,0)),0)=0,"",IFERROR(INDEX('Référentiel'!$C$2:$C$83,MATCH($C67,'Référentiel'!$A$2:$A$83,0)),0)))</f>
      </c>
      <c r="M67" s="23"/>
      <c r="N67" s="22">
        <f>IF($C67="","",IF(IF($M67&lt;&gt;"",IF($L67&lt;&gt;"",MIN($L67,$M67),$M67),IF($L67&lt;&gt;"",$L67,IF(IFERROR(INDEX('Référentiel'!$D$2:$D$83,MATCH($C67,'Référentiel'!$A$2:$A$83,0)),0)&gt;0,IFERROR(INDEX('Référentiel'!$D$2:$D$83,MATCH($C67,'Référentiel'!$A$2:$A$83,0)),0),"")))="","",IF(AND(IFERROR(INDEX('Référentiel'!$F$2:$F$83,MATCH($C67,'Référentiel'!$A$2:$A$83,0)),0)&gt;0,N($J67)&gt;0),MIN(IF($M67&lt;&gt;"",IF($L67&lt;&gt;"",MIN($L67,$M67),$M67),IF($L67&lt;&gt;"",$L67,IF(IFERROR(INDEX('Référentiel'!$D$2:$D$83,MATCH($C67,'Référentiel'!$A$2:$A$83,0)),0)&gt;0,IFERROR(INDEX('Référentiel'!$D$2:$D$83,MATCH($C67,'Référentiel'!$A$2:$A$83,0)),0),""))),IFERROR(INDEX('Référentiel'!$F$2:$F$83,MATCH($C67,'Référentiel'!$A$2:$A$83,0)),0)),IF($M67&lt;&gt;"",IF($L67&lt;&gt;"",MIN($L67,$M67),$M67),IF($L67&lt;&gt;"",$L67,IF(IFERROR(INDEX('Référentiel'!$D$2:$D$83,MATCH($C67,'Référentiel'!$A$2:$A$83,0)),0)&gt;0,IFERROR(INDEX('Référentiel'!$D$2:$D$83,MATCH($C67,'Référentiel'!$A$2:$A$83,0)),0),""))))))</f>
      </c>
      <c r="O67" s="9"/>
      <c r="P67" s="23"/>
      <c r="Q67" s="9"/>
      <c r="R67" s="24"/>
      <c r="S67" s="23"/>
      <c r="T67" s="23"/>
      <c r="U67" s="24"/>
      <c r="V67" s="20">
        <f>IF($C67="","",IFERROR(INDEX('Référentiel'!$K$2:$K$83,MATCH($C67,'Référentiel'!$A$2:$A$83,0)),""))</f>
      </c>
      <c r="W67" s="20">
        <f>IF(AND(ISNUMBER($G67),$I67&lt;&gt;"Hors service",$I67&lt;&gt;"Location terminée"),$G67+ROW()/100000,"")</f>
      </c>
      <c r="X67" s="9"/>
    </row>
    <row r="68" spans="1:24" x14ac:dyDescent="0.25">
      <c r="A68" s="9"/>
      <c r="B68" s="9"/>
      <c r="C68" s="9"/>
      <c r="D68" s="9"/>
      <c r="E68" s="19">
        <f>IF($A68="","",IF(SUMPRODUCT(MAX((Vérifications!$B$2:$B$1001=$A68)*Vérifications!$L$2:$L$1001))=0,"",SUMPRODUCT(MAX((Vérifications!$B$2:$B$1001=$A68)*Vérifications!$L$2:$L$1001))))</f>
      </c>
      <c r="F68" s="20">
        <f>IF($E68="","",IFERROR(INDEX(Vérifications!$E$2:$E$1001,MATCH($A68&amp;"|"&amp;$E68,Vérifications!$M$2:$M$1001,0)),""))</f>
      </c>
      <c r="G68" s="19">
        <f>IF($N68="","",IF(ISNUMBER($E68),EDATE($E68,$N68),IF(AND(ISNUMBER($U68),IFERROR(INDEX('Référentiel'!$E$2:$E$83,MATCH($C68,'Référentiel'!$A$2:$A$83,0)),0)&gt;0),EDATE($U68,IFERROR(INDEX('Référentiel'!$E$2:$E$83,MATCH($C68,'Référentiel'!$A$2:$A$83,0)),0)),"")))</f>
      </c>
      <c r="H68" s="21">
        <f>IF(ISNUMBER($G68),$G68-TODAY(),"")</f>
      </c>
      <c r="I68" s="20">
        <f>IF(AND($A68="",$C68=""),"",IF($T68="Non","Hors service",IF(AND($Q68="Location",ISNUMBER($R68),$R68&lt;TODAY()),"Location terminée",IF(OR($F68="Mise à l'arrêt",IF($A68="",0,SUMPRODUCT((Réserves!$B$2:$B$301=$A68)*(Réserves!$E$2:$E$301="Mise à l'arrêt")*(Réserves!$J$2:$J$301&lt;&gt;"Levée")*(Réserves!$J$2:$J$301&lt;&gt;"")))&gt;0),"Arrêt : réserve à lever",IF($C68="","Type à choisir",IF($N68="","Périodicité à saisir",IF(OR(ISTEXT($U68),ISTEXT($R68)),"Date à corriger",IF(AND($E68="",$Q68="Location",$S68&lt;&gt;"Oui"),"Rapport loueur à obtenir",IF(NOT(ISNUMBER($G68)),"Vérif. initiale à tracer",IF($H68&lt;0,"En retard",IF(AND($Q68="Location",$S68&lt;&gt;"Oui"),"Rapport loueur à obtenir",IF($H68&lt;='Tableau de bord'!$C$4,"À planifier","À jour"))))))))))))</f>
      </c>
      <c r="J68" s="22">
        <f>IF($A68="","",COUNTIFS(Réserves!$B$2:$B$301,$A68,Réserves!$J$2:$J$301,"Ouverte")+COUNTIFS(Réserves!$B$2:$B$301,$A68,Réserves!$J$2:$J$301,"En retard"))</f>
      </c>
      <c r="K68" s="20">
        <f>IF($C68="","",IFERROR(INDEX('Référentiel'!$B$2:$B$83,MATCH($C68,'Référentiel'!$A$2:$A$83,0)),"Type hors liste"))</f>
      </c>
      <c r="L68" s="22">
        <f>IF($C68="","",IF(IFERROR(INDEX('Référentiel'!$C$2:$C$83,MATCH($C68,'Référentiel'!$A$2:$A$83,0)),0)=0,"",IFERROR(INDEX('Référentiel'!$C$2:$C$83,MATCH($C68,'Référentiel'!$A$2:$A$83,0)),0)))</f>
      </c>
      <c r="M68" s="23"/>
      <c r="N68" s="22">
        <f>IF($C68="","",IF(IF($M68&lt;&gt;"",IF($L68&lt;&gt;"",MIN($L68,$M68),$M68),IF($L68&lt;&gt;"",$L68,IF(IFERROR(INDEX('Référentiel'!$D$2:$D$83,MATCH($C68,'Référentiel'!$A$2:$A$83,0)),0)&gt;0,IFERROR(INDEX('Référentiel'!$D$2:$D$83,MATCH($C68,'Référentiel'!$A$2:$A$83,0)),0),"")))="","",IF(AND(IFERROR(INDEX('Référentiel'!$F$2:$F$83,MATCH($C68,'Référentiel'!$A$2:$A$83,0)),0)&gt;0,N($J68)&gt;0),MIN(IF($M68&lt;&gt;"",IF($L68&lt;&gt;"",MIN($L68,$M68),$M68),IF($L68&lt;&gt;"",$L68,IF(IFERROR(INDEX('Référentiel'!$D$2:$D$83,MATCH($C68,'Référentiel'!$A$2:$A$83,0)),0)&gt;0,IFERROR(INDEX('Référentiel'!$D$2:$D$83,MATCH($C68,'Référentiel'!$A$2:$A$83,0)),0),""))),IFERROR(INDEX('Référentiel'!$F$2:$F$83,MATCH($C68,'Référentiel'!$A$2:$A$83,0)),0)),IF($M68&lt;&gt;"",IF($L68&lt;&gt;"",MIN($L68,$M68),$M68),IF($L68&lt;&gt;"",$L68,IF(IFERROR(INDEX('Référentiel'!$D$2:$D$83,MATCH($C68,'Référentiel'!$A$2:$A$83,0)),0)&gt;0,IFERROR(INDEX('Référentiel'!$D$2:$D$83,MATCH($C68,'Référentiel'!$A$2:$A$83,0)),0),""))))))</f>
      </c>
      <c r="O68" s="9"/>
      <c r="P68" s="23"/>
      <c r="Q68" s="9"/>
      <c r="R68" s="24"/>
      <c r="S68" s="23"/>
      <c r="T68" s="23"/>
      <c r="U68" s="24"/>
      <c r="V68" s="20">
        <f>IF($C68="","",IFERROR(INDEX('Référentiel'!$K$2:$K$83,MATCH($C68,'Référentiel'!$A$2:$A$83,0)),""))</f>
      </c>
      <c r="W68" s="20">
        <f>IF(AND(ISNUMBER($G68),$I68&lt;&gt;"Hors service",$I68&lt;&gt;"Location terminée"),$G68+ROW()/100000,"")</f>
      </c>
      <c r="X68" s="9"/>
    </row>
    <row r="69" spans="1:24" x14ac:dyDescent="0.25">
      <c r="A69" s="9"/>
      <c r="B69" s="9"/>
      <c r="C69" s="9"/>
      <c r="D69" s="9"/>
      <c r="E69" s="19">
        <f>IF($A69="","",IF(SUMPRODUCT(MAX((Vérifications!$B$2:$B$1001=$A69)*Vérifications!$L$2:$L$1001))=0,"",SUMPRODUCT(MAX((Vérifications!$B$2:$B$1001=$A69)*Vérifications!$L$2:$L$1001))))</f>
      </c>
      <c r="F69" s="20">
        <f>IF($E69="","",IFERROR(INDEX(Vérifications!$E$2:$E$1001,MATCH($A69&amp;"|"&amp;$E69,Vérifications!$M$2:$M$1001,0)),""))</f>
      </c>
      <c r="G69" s="19">
        <f>IF($N69="","",IF(ISNUMBER($E69),EDATE($E69,$N69),IF(AND(ISNUMBER($U69),IFERROR(INDEX('Référentiel'!$E$2:$E$83,MATCH($C69,'Référentiel'!$A$2:$A$83,0)),0)&gt;0),EDATE($U69,IFERROR(INDEX('Référentiel'!$E$2:$E$83,MATCH($C69,'Référentiel'!$A$2:$A$83,0)),0)),"")))</f>
      </c>
      <c r="H69" s="21">
        <f>IF(ISNUMBER($G69),$G69-TODAY(),"")</f>
      </c>
      <c r="I69" s="20">
        <f>IF(AND($A69="",$C69=""),"",IF($T69="Non","Hors service",IF(AND($Q69="Location",ISNUMBER($R69),$R69&lt;TODAY()),"Location terminée",IF(OR($F69="Mise à l'arrêt",IF($A69="",0,SUMPRODUCT((Réserves!$B$2:$B$301=$A69)*(Réserves!$E$2:$E$301="Mise à l'arrêt")*(Réserves!$J$2:$J$301&lt;&gt;"Levée")*(Réserves!$J$2:$J$301&lt;&gt;"")))&gt;0),"Arrêt : réserve à lever",IF($C69="","Type à choisir",IF($N69="","Périodicité à saisir",IF(OR(ISTEXT($U69),ISTEXT($R69)),"Date à corriger",IF(AND($E69="",$Q69="Location",$S69&lt;&gt;"Oui"),"Rapport loueur à obtenir",IF(NOT(ISNUMBER($G69)),"Vérif. initiale à tracer",IF($H69&lt;0,"En retard",IF(AND($Q69="Location",$S69&lt;&gt;"Oui"),"Rapport loueur à obtenir",IF($H69&lt;='Tableau de bord'!$C$4,"À planifier","À jour"))))))))))))</f>
      </c>
      <c r="J69" s="22">
        <f>IF($A69="","",COUNTIFS(Réserves!$B$2:$B$301,$A69,Réserves!$J$2:$J$301,"Ouverte")+COUNTIFS(Réserves!$B$2:$B$301,$A69,Réserves!$J$2:$J$301,"En retard"))</f>
      </c>
      <c r="K69" s="20">
        <f>IF($C69="","",IFERROR(INDEX('Référentiel'!$B$2:$B$83,MATCH($C69,'Référentiel'!$A$2:$A$83,0)),"Type hors liste"))</f>
      </c>
      <c r="L69" s="22">
        <f>IF($C69="","",IF(IFERROR(INDEX('Référentiel'!$C$2:$C$83,MATCH($C69,'Référentiel'!$A$2:$A$83,0)),0)=0,"",IFERROR(INDEX('Référentiel'!$C$2:$C$83,MATCH($C69,'Référentiel'!$A$2:$A$83,0)),0)))</f>
      </c>
      <c r="M69" s="23"/>
      <c r="N69" s="22">
        <f>IF($C69="","",IF(IF($M69&lt;&gt;"",IF($L69&lt;&gt;"",MIN($L69,$M69),$M69),IF($L69&lt;&gt;"",$L69,IF(IFERROR(INDEX('Référentiel'!$D$2:$D$83,MATCH($C69,'Référentiel'!$A$2:$A$83,0)),0)&gt;0,IFERROR(INDEX('Référentiel'!$D$2:$D$83,MATCH($C69,'Référentiel'!$A$2:$A$83,0)),0),"")))="","",IF(AND(IFERROR(INDEX('Référentiel'!$F$2:$F$83,MATCH($C69,'Référentiel'!$A$2:$A$83,0)),0)&gt;0,N($J69)&gt;0),MIN(IF($M69&lt;&gt;"",IF($L69&lt;&gt;"",MIN($L69,$M69),$M69),IF($L69&lt;&gt;"",$L69,IF(IFERROR(INDEX('Référentiel'!$D$2:$D$83,MATCH($C69,'Référentiel'!$A$2:$A$83,0)),0)&gt;0,IFERROR(INDEX('Référentiel'!$D$2:$D$83,MATCH($C69,'Référentiel'!$A$2:$A$83,0)),0),""))),IFERROR(INDEX('Référentiel'!$F$2:$F$83,MATCH($C69,'Référentiel'!$A$2:$A$83,0)),0)),IF($M69&lt;&gt;"",IF($L69&lt;&gt;"",MIN($L69,$M69),$M69),IF($L69&lt;&gt;"",$L69,IF(IFERROR(INDEX('Référentiel'!$D$2:$D$83,MATCH($C69,'Référentiel'!$A$2:$A$83,0)),0)&gt;0,IFERROR(INDEX('Référentiel'!$D$2:$D$83,MATCH($C69,'Référentiel'!$A$2:$A$83,0)),0),""))))))</f>
      </c>
      <c r="O69" s="9"/>
      <c r="P69" s="23"/>
      <c r="Q69" s="9"/>
      <c r="R69" s="24"/>
      <c r="S69" s="23"/>
      <c r="T69" s="23"/>
      <c r="U69" s="24"/>
      <c r="V69" s="20">
        <f>IF($C69="","",IFERROR(INDEX('Référentiel'!$K$2:$K$83,MATCH($C69,'Référentiel'!$A$2:$A$83,0)),""))</f>
      </c>
      <c r="W69" s="20">
        <f>IF(AND(ISNUMBER($G69),$I69&lt;&gt;"Hors service",$I69&lt;&gt;"Location terminée"),$G69+ROW()/100000,"")</f>
      </c>
      <c r="X69" s="9"/>
    </row>
    <row r="70" spans="1:24" x14ac:dyDescent="0.25">
      <c r="A70" s="9"/>
      <c r="B70" s="9"/>
      <c r="C70" s="9"/>
      <c r="D70" s="9"/>
      <c r="E70" s="19">
        <f>IF($A70="","",IF(SUMPRODUCT(MAX((Vérifications!$B$2:$B$1001=$A70)*Vérifications!$L$2:$L$1001))=0,"",SUMPRODUCT(MAX((Vérifications!$B$2:$B$1001=$A70)*Vérifications!$L$2:$L$1001))))</f>
      </c>
      <c r="F70" s="20">
        <f>IF($E70="","",IFERROR(INDEX(Vérifications!$E$2:$E$1001,MATCH($A70&amp;"|"&amp;$E70,Vérifications!$M$2:$M$1001,0)),""))</f>
      </c>
      <c r="G70" s="19">
        <f>IF($N70="","",IF(ISNUMBER($E70),EDATE($E70,$N70),IF(AND(ISNUMBER($U70),IFERROR(INDEX('Référentiel'!$E$2:$E$83,MATCH($C70,'Référentiel'!$A$2:$A$83,0)),0)&gt;0),EDATE($U70,IFERROR(INDEX('Référentiel'!$E$2:$E$83,MATCH($C70,'Référentiel'!$A$2:$A$83,0)),0)),"")))</f>
      </c>
      <c r="H70" s="21">
        <f>IF(ISNUMBER($G70),$G70-TODAY(),"")</f>
      </c>
      <c r="I70" s="20">
        <f>IF(AND($A70="",$C70=""),"",IF($T70="Non","Hors service",IF(AND($Q70="Location",ISNUMBER($R70),$R70&lt;TODAY()),"Location terminée",IF(OR($F70="Mise à l'arrêt",IF($A70="",0,SUMPRODUCT((Réserves!$B$2:$B$301=$A70)*(Réserves!$E$2:$E$301="Mise à l'arrêt")*(Réserves!$J$2:$J$301&lt;&gt;"Levée")*(Réserves!$J$2:$J$301&lt;&gt;"")))&gt;0),"Arrêt : réserve à lever",IF($C70="","Type à choisir",IF($N70="","Périodicité à saisir",IF(OR(ISTEXT($U70),ISTEXT($R70)),"Date à corriger",IF(AND($E70="",$Q70="Location",$S70&lt;&gt;"Oui"),"Rapport loueur à obtenir",IF(NOT(ISNUMBER($G70)),"Vérif. initiale à tracer",IF($H70&lt;0,"En retard",IF(AND($Q70="Location",$S70&lt;&gt;"Oui"),"Rapport loueur à obtenir",IF($H70&lt;='Tableau de bord'!$C$4,"À planifier","À jour"))))))))))))</f>
      </c>
      <c r="J70" s="22">
        <f>IF($A70="","",COUNTIFS(Réserves!$B$2:$B$301,$A70,Réserves!$J$2:$J$301,"Ouverte")+COUNTIFS(Réserves!$B$2:$B$301,$A70,Réserves!$J$2:$J$301,"En retard"))</f>
      </c>
      <c r="K70" s="20">
        <f>IF($C70="","",IFERROR(INDEX('Référentiel'!$B$2:$B$83,MATCH($C70,'Référentiel'!$A$2:$A$83,0)),"Type hors liste"))</f>
      </c>
      <c r="L70" s="22">
        <f>IF($C70="","",IF(IFERROR(INDEX('Référentiel'!$C$2:$C$83,MATCH($C70,'Référentiel'!$A$2:$A$83,0)),0)=0,"",IFERROR(INDEX('Référentiel'!$C$2:$C$83,MATCH($C70,'Référentiel'!$A$2:$A$83,0)),0)))</f>
      </c>
      <c r="M70" s="23"/>
      <c r="N70" s="22">
        <f>IF($C70="","",IF(IF($M70&lt;&gt;"",IF($L70&lt;&gt;"",MIN($L70,$M70),$M70),IF($L70&lt;&gt;"",$L70,IF(IFERROR(INDEX('Référentiel'!$D$2:$D$83,MATCH($C70,'Référentiel'!$A$2:$A$83,0)),0)&gt;0,IFERROR(INDEX('Référentiel'!$D$2:$D$83,MATCH($C70,'Référentiel'!$A$2:$A$83,0)),0),"")))="","",IF(AND(IFERROR(INDEX('Référentiel'!$F$2:$F$83,MATCH($C70,'Référentiel'!$A$2:$A$83,0)),0)&gt;0,N($J70)&gt;0),MIN(IF($M70&lt;&gt;"",IF($L70&lt;&gt;"",MIN($L70,$M70),$M70),IF($L70&lt;&gt;"",$L70,IF(IFERROR(INDEX('Référentiel'!$D$2:$D$83,MATCH($C70,'Référentiel'!$A$2:$A$83,0)),0)&gt;0,IFERROR(INDEX('Référentiel'!$D$2:$D$83,MATCH($C70,'Référentiel'!$A$2:$A$83,0)),0),""))),IFERROR(INDEX('Référentiel'!$F$2:$F$83,MATCH($C70,'Référentiel'!$A$2:$A$83,0)),0)),IF($M70&lt;&gt;"",IF($L70&lt;&gt;"",MIN($L70,$M70),$M70),IF($L70&lt;&gt;"",$L70,IF(IFERROR(INDEX('Référentiel'!$D$2:$D$83,MATCH($C70,'Référentiel'!$A$2:$A$83,0)),0)&gt;0,IFERROR(INDEX('Référentiel'!$D$2:$D$83,MATCH($C70,'Référentiel'!$A$2:$A$83,0)),0),""))))))</f>
      </c>
      <c r="O70" s="9"/>
      <c r="P70" s="23"/>
      <c r="Q70" s="9"/>
      <c r="R70" s="24"/>
      <c r="S70" s="23"/>
      <c r="T70" s="23"/>
      <c r="U70" s="24"/>
      <c r="V70" s="20">
        <f>IF($C70="","",IFERROR(INDEX('Référentiel'!$K$2:$K$83,MATCH($C70,'Référentiel'!$A$2:$A$83,0)),""))</f>
      </c>
      <c r="W70" s="20">
        <f>IF(AND(ISNUMBER($G70),$I70&lt;&gt;"Hors service",$I70&lt;&gt;"Location terminée"),$G70+ROW()/100000,"")</f>
      </c>
      <c r="X70" s="9"/>
    </row>
    <row r="71" spans="1:24" x14ac:dyDescent="0.25">
      <c r="A71" s="9"/>
      <c r="B71" s="9"/>
      <c r="C71" s="9"/>
      <c r="D71" s="9"/>
      <c r="E71" s="19">
        <f>IF($A71="","",IF(SUMPRODUCT(MAX((Vérifications!$B$2:$B$1001=$A71)*Vérifications!$L$2:$L$1001))=0,"",SUMPRODUCT(MAX((Vérifications!$B$2:$B$1001=$A71)*Vérifications!$L$2:$L$1001))))</f>
      </c>
      <c r="F71" s="20">
        <f>IF($E71="","",IFERROR(INDEX(Vérifications!$E$2:$E$1001,MATCH($A71&amp;"|"&amp;$E71,Vérifications!$M$2:$M$1001,0)),""))</f>
      </c>
      <c r="G71" s="19">
        <f>IF($N71="","",IF(ISNUMBER($E71),EDATE($E71,$N71),IF(AND(ISNUMBER($U71),IFERROR(INDEX('Référentiel'!$E$2:$E$83,MATCH($C71,'Référentiel'!$A$2:$A$83,0)),0)&gt;0),EDATE($U71,IFERROR(INDEX('Référentiel'!$E$2:$E$83,MATCH($C71,'Référentiel'!$A$2:$A$83,0)),0)),"")))</f>
      </c>
      <c r="H71" s="21">
        <f>IF(ISNUMBER($G71),$G71-TODAY(),"")</f>
      </c>
      <c r="I71" s="20">
        <f>IF(AND($A71="",$C71=""),"",IF($T71="Non","Hors service",IF(AND($Q71="Location",ISNUMBER($R71),$R71&lt;TODAY()),"Location terminée",IF(OR($F71="Mise à l'arrêt",IF($A71="",0,SUMPRODUCT((Réserves!$B$2:$B$301=$A71)*(Réserves!$E$2:$E$301="Mise à l'arrêt")*(Réserves!$J$2:$J$301&lt;&gt;"Levée")*(Réserves!$J$2:$J$301&lt;&gt;"")))&gt;0),"Arrêt : réserve à lever",IF($C71="","Type à choisir",IF($N71="","Périodicité à saisir",IF(OR(ISTEXT($U71),ISTEXT($R71)),"Date à corriger",IF(AND($E71="",$Q71="Location",$S71&lt;&gt;"Oui"),"Rapport loueur à obtenir",IF(NOT(ISNUMBER($G71)),"Vérif. initiale à tracer",IF($H71&lt;0,"En retard",IF(AND($Q71="Location",$S71&lt;&gt;"Oui"),"Rapport loueur à obtenir",IF($H71&lt;='Tableau de bord'!$C$4,"À planifier","À jour"))))))))))))</f>
      </c>
      <c r="J71" s="22">
        <f>IF($A71="","",COUNTIFS(Réserves!$B$2:$B$301,$A71,Réserves!$J$2:$J$301,"Ouverte")+COUNTIFS(Réserves!$B$2:$B$301,$A71,Réserves!$J$2:$J$301,"En retard"))</f>
      </c>
      <c r="K71" s="20">
        <f>IF($C71="","",IFERROR(INDEX('Référentiel'!$B$2:$B$83,MATCH($C71,'Référentiel'!$A$2:$A$83,0)),"Type hors liste"))</f>
      </c>
      <c r="L71" s="22">
        <f>IF($C71="","",IF(IFERROR(INDEX('Référentiel'!$C$2:$C$83,MATCH($C71,'Référentiel'!$A$2:$A$83,0)),0)=0,"",IFERROR(INDEX('Référentiel'!$C$2:$C$83,MATCH($C71,'Référentiel'!$A$2:$A$83,0)),0)))</f>
      </c>
      <c r="M71" s="23"/>
      <c r="N71" s="22">
        <f>IF($C71="","",IF(IF($M71&lt;&gt;"",IF($L71&lt;&gt;"",MIN($L71,$M71),$M71),IF($L71&lt;&gt;"",$L71,IF(IFERROR(INDEX('Référentiel'!$D$2:$D$83,MATCH($C71,'Référentiel'!$A$2:$A$83,0)),0)&gt;0,IFERROR(INDEX('Référentiel'!$D$2:$D$83,MATCH($C71,'Référentiel'!$A$2:$A$83,0)),0),"")))="","",IF(AND(IFERROR(INDEX('Référentiel'!$F$2:$F$83,MATCH($C71,'Référentiel'!$A$2:$A$83,0)),0)&gt;0,N($J71)&gt;0),MIN(IF($M71&lt;&gt;"",IF($L71&lt;&gt;"",MIN($L71,$M71),$M71),IF($L71&lt;&gt;"",$L71,IF(IFERROR(INDEX('Référentiel'!$D$2:$D$83,MATCH($C71,'Référentiel'!$A$2:$A$83,0)),0)&gt;0,IFERROR(INDEX('Référentiel'!$D$2:$D$83,MATCH($C71,'Référentiel'!$A$2:$A$83,0)),0),""))),IFERROR(INDEX('Référentiel'!$F$2:$F$83,MATCH($C71,'Référentiel'!$A$2:$A$83,0)),0)),IF($M71&lt;&gt;"",IF($L71&lt;&gt;"",MIN($L71,$M71),$M71),IF($L71&lt;&gt;"",$L71,IF(IFERROR(INDEX('Référentiel'!$D$2:$D$83,MATCH($C71,'Référentiel'!$A$2:$A$83,0)),0)&gt;0,IFERROR(INDEX('Référentiel'!$D$2:$D$83,MATCH($C71,'Référentiel'!$A$2:$A$83,0)),0),""))))))</f>
      </c>
      <c r="O71" s="9"/>
      <c r="P71" s="23"/>
      <c r="Q71" s="9"/>
      <c r="R71" s="24"/>
      <c r="S71" s="23"/>
      <c r="T71" s="23"/>
      <c r="U71" s="24"/>
      <c r="V71" s="20">
        <f>IF($C71="","",IFERROR(INDEX('Référentiel'!$K$2:$K$83,MATCH($C71,'Référentiel'!$A$2:$A$83,0)),""))</f>
      </c>
      <c r="W71" s="20">
        <f>IF(AND(ISNUMBER($G71),$I71&lt;&gt;"Hors service",$I71&lt;&gt;"Location terminée"),$G71+ROW()/100000,"")</f>
      </c>
      <c r="X71" s="9"/>
    </row>
    <row r="72" spans="1:24" x14ac:dyDescent="0.25">
      <c r="A72" s="9"/>
      <c r="B72" s="9"/>
      <c r="C72" s="9"/>
      <c r="D72" s="9"/>
      <c r="E72" s="19">
        <f>IF($A72="","",IF(SUMPRODUCT(MAX((Vérifications!$B$2:$B$1001=$A72)*Vérifications!$L$2:$L$1001))=0,"",SUMPRODUCT(MAX((Vérifications!$B$2:$B$1001=$A72)*Vérifications!$L$2:$L$1001))))</f>
      </c>
      <c r="F72" s="20">
        <f>IF($E72="","",IFERROR(INDEX(Vérifications!$E$2:$E$1001,MATCH($A72&amp;"|"&amp;$E72,Vérifications!$M$2:$M$1001,0)),""))</f>
      </c>
      <c r="G72" s="19">
        <f>IF($N72="","",IF(ISNUMBER($E72),EDATE($E72,$N72),IF(AND(ISNUMBER($U72),IFERROR(INDEX('Référentiel'!$E$2:$E$83,MATCH($C72,'Référentiel'!$A$2:$A$83,0)),0)&gt;0),EDATE($U72,IFERROR(INDEX('Référentiel'!$E$2:$E$83,MATCH($C72,'Référentiel'!$A$2:$A$83,0)),0)),"")))</f>
      </c>
      <c r="H72" s="21">
        <f>IF(ISNUMBER($G72),$G72-TODAY(),"")</f>
      </c>
      <c r="I72" s="20">
        <f>IF(AND($A72="",$C72=""),"",IF($T72="Non","Hors service",IF(AND($Q72="Location",ISNUMBER($R72),$R72&lt;TODAY()),"Location terminée",IF(OR($F72="Mise à l'arrêt",IF($A72="",0,SUMPRODUCT((Réserves!$B$2:$B$301=$A72)*(Réserves!$E$2:$E$301="Mise à l'arrêt")*(Réserves!$J$2:$J$301&lt;&gt;"Levée")*(Réserves!$J$2:$J$301&lt;&gt;"")))&gt;0),"Arrêt : réserve à lever",IF($C72="","Type à choisir",IF($N72="","Périodicité à saisir",IF(OR(ISTEXT($U72),ISTEXT($R72)),"Date à corriger",IF(AND($E72="",$Q72="Location",$S72&lt;&gt;"Oui"),"Rapport loueur à obtenir",IF(NOT(ISNUMBER($G72)),"Vérif. initiale à tracer",IF($H72&lt;0,"En retard",IF(AND($Q72="Location",$S72&lt;&gt;"Oui"),"Rapport loueur à obtenir",IF($H72&lt;='Tableau de bord'!$C$4,"À planifier","À jour"))))))))))))</f>
      </c>
      <c r="J72" s="22">
        <f>IF($A72="","",COUNTIFS(Réserves!$B$2:$B$301,$A72,Réserves!$J$2:$J$301,"Ouverte")+COUNTIFS(Réserves!$B$2:$B$301,$A72,Réserves!$J$2:$J$301,"En retard"))</f>
      </c>
      <c r="K72" s="20">
        <f>IF($C72="","",IFERROR(INDEX('Référentiel'!$B$2:$B$83,MATCH($C72,'Référentiel'!$A$2:$A$83,0)),"Type hors liste"))</f>
      </c>
      <c r="L72" s="22">
        <f>IF($C72="","",IF(IFERROR(INDEX('Référentiel'!$C$2:$C$83,MATCH($C72,'Référentiel'!$A$2:$A$83,0)),0)=0,"",IFERROR(INDEX('Référentiel'!$C$2:$C$83,MATCH($C72,'Référentiel'!$A$2:$A$83,0)),0)))</f>
      </c>
      <c r="M72" s="23"/>
      <c r="N72" s="22">
        <f>IF($C72="","",IF(IF($M72&lt;&gt;"",IF($L72&lt;&gt;"",MIN($L72,$M72),$M72),IF($L72&lt;&gt;"",$L72,IF(IFERROR(INDEX('Référentiel'!$D$2:$D$83,MATCH($C72,'Référentiel'!$A$2:$A$83,0)),0)&gt;0,IFERROR(INDEX('Référentiel'!$D$2:$D$83,MATCH($C72,'Référentiel'!$A$2:$A$83,0)),0),"")))="","",IF(AND(IFERROR(INDEX('Référentiel'!$F$2:$F$83,MATCH($C72,'Référentiel'!$A$2:$A$83,0)),0)&gt;0,N($J72)&gt;0),MIN(IF($M72&lt;&gt;"",IF($L72&lt;&gt;"",MIN($L72,$M72),$M72),IF($L72&lt;&gt;"",$L72,IF(IFERROR(INDEX('Référentiel'!$D$2:$D$83,MATCH($C72,'Référentiel'!$A$2:$A$83,0)),0)&gt;0,IFERROR(INDEX('Référentiel'!$D$2:$D$83,MATCH($C72,'Référentiel'!$A$2:$A$83,0)),0),""))),IFERROR(INDEX('Référentiel'!$F$2:$F$83,MATCH($C72,'Référentiel'!$A$2:$A$83,0)),0)),IF($M72&lt;&gt;"",IF($L72&lt;&gt;"",MIN($L72,$M72),$M72),IF($L72&lt;&gt;"",$L72,IF(IFERROR(INDEX('Référentiel'!$D$2:$D$83,MATCH($C72,'Référentiel'!$A$2:$A$83,0)),0)&gt;0,IFERROR(INDEX('Référentiel'!$D$2:$D$83,MATCH($C72,'Référentiel'!$A$2:$A$83,0)),0),""))))))</f>
      </c>
      <c r="O72" s="9"/>
      <c r="P72" s="23"/>
      <c r="Q72" s="9"/>
      <c r="R72" s="24"/>
      <c r="S72" s="23"/>
      <c r="T72" s="23"/>
      <c r="U72" s="24"/>
      <c r="V72" s="20">
        <f>IF($C72="","",IFERROR(INDEX('Référentiel'!$K$2:$K$83,MATCH($C72,'Référentiel'!$A$2:$A$83,0)),""))</f>
      </c>
      <c r="W72" s="20">
        <f>IF(AND(ISNUMBER($G72),$I72&lt;&gt;"Hors service",$I72&lt;&gt;"Location terminée"),$G72+ROW()/100000,"")</f>
      </c>
      <c r="X72" s="9"/>
    </row>
    <row r="73" spans="1:24" x14ac:dyDescent="0.25">
      <c r="A73" s="9"/>
      <c r="B73" s="9"/>
      <c r="C73" s="9"/>
      <c r="D73" s="9"/>
      <c r="E73" s="19">
        <f>IF($A73="","",IF(SUMPRODUCT(MAX((Vérifications!$B$2:$B$1001=$A73)*Vérifications!$L$2:$L$1001))=0,"",SUMPRODUCT(MAX((Vérifications!$B$2:$B$1001=$A73)*Vérifications!$L$2:$L$1001))))</f>
      </c>
      <c r="F73" s="20">
        <f>IF($E73="","",IFERROR(INDEX(Vérifications!$E$2:$E$1001,MATCH($A73&amp;"|"&amp;$E73,Vérifications!$M$2:$M$1001,0)),""))</f>
      </c>
      <c r="G73" s="19">
        <f>IF($N73="","",IF(ISNUMBER($E73),EDATE($E73,$N73),IF(AND(ISNUMBER($U73),IFERROR(INDEX('Référentiel'!$E$2:$E$83,MATCH($C73,'Référentiel'!$A$2:$A$83,0)),0)&gt;0),EDATE($U73,IFERROR(INDEX('Référentiel'!$E$2:$E$83,MATCH($C73,'Référentiel'!$A$2:$A$83,0)),0)),"")))</f>
      </c>
      <c r="H73" s="21">
        <f>IF(ISNUMBER($G73),$G73-TODAY(),"")</f>
      </c>
      <c r="I73" s="20">
        <f>IF(AND($A73="",$C73=""),"",IF($T73="Non","Hors service",IF(AND($Q73="Location",ISNUMBER($R73),$R73&lt;TODAY()),"Location terminée",IF(OR($F73="Mise à l'arrêt",IF($A73="",0,SUMPRODUCT((Réserves!$B$2:$B$301=$A73)*(Réserves!$E$2:$E$301="Mise à l'arrêt")*(Réserves!$J$2:$J$301&lt;&gt;"Levée")*(Réserves!$J$2:$J$301&lt;&gt;"")))&gt;0),"Arrêt : réserve à lever",IF($C73="","Type à choisir",IF($N73="","Périodicité à saisir",IF(OR(ISTEXT($U73),ISTEXT($R73)),"Date à corriger",IF(AND($E73="",$Q73="Location",$S73&lt;&gt;"Oui"),"Rapport loueur à obtenir",IF(NOT(ISNUMBER($G73)),"Vérif. initiale à tracer",IF($H73&lt;0,"En retard",IF(AND($Q73="Location",$S73&lt;&gt;"Oui"),"Rapport loueur à obtenir",IF($H73&lt;='Tableau de bord'!$C$4,"À planifier","À jour"))))))))))))</f>
      </c>
      <c r="J73" s="22">
        <f>IF($A73="","",COUNTIFS(Réserves!$B$2:$B$301,$A73,Réserves!$J$2:$J$301,"Ouverte")+COUNTIFS(Réserves!$B$2:$B$301,$A73,Réserves!$J$2:$J$301,"En retard"))</f>
      </c>
      <c r="K73" s="20">
        <f>IF($C73="","",IFERROR(INDEX('Référentiel'!$B$2:$B$83,MATCH($C73,'Référentiel'!$A$2:$A$83,0)),"Type hors liste"))</f>
      </c>
      <c r="L73" s="22">
        <f>IF($C73="","",IF(IFERROR(INDEX('Référentiel'!$C$2:$C$83,MATCH($C73,'Référentiel'!$A$2:$A$83,0)),0)=0,"",IFERROR(INDEX('Référentiel'!$C$2:$C$83,MATCH($C73,'Référentiel'!$A$2:$A$83,0)),0)))</f>
      </c>
      <c r="M73" s="23"/>
      <c r="N73" s="22">
        <f>IF($C73="","",IF(IF($M73&lt;&gt;"",IF($L73&lt;&gt;"",MIN($L73,$M73),$M73),IF($L73&lt;&gt;"",$L73,IF(IFERROR(INDEX('Référentiel'!$D$2:$D$83,MATCH($C73,'Référentiel'!$A$2:$A$83,0)),0)&gt;0,IFERROR(INDEX('Référentiel'!$D$2:$D$83,MATCH($C73,'Référentiel'!$A$2:$A$83,0)),0),"")))="","",IF(AND(IFERROR(INDEX('Référentiel'!$F$2:$F$83,MATCH($C73,'Référentiel'!$A$2:$A$83,0)),0)&gt;0,N($J73)&gt;0),MIN(IF($M73&lt;&gt;"",IF($L73&lt;&gt;"",MIN($L73,$M73),$M73),IF($L73&lt;&gt;"",$L73,IF(IFERROR(INDEX('Référentiel'!$D$2:$D$83,MATCH($C73,'Référentiel'!$A$2:$A$83,0)),0)&gt;0,IFERROR(INDEX('Référentiel'!$D$2:$D$83,MATCH($C73,'Référentiel'!$A$2:$A$83,0)),0),""))),IFERROR(INDEX('Référentiel'!$F$2:$F$83,MATCH($C73,'Référentiel'!$A$2:$A$83,0)),0)),IF($M73&lt;&gt;"",IF($L73&lt;&gt;"",MIN($L73,$M73),$M73),IF($L73&lt;&gt;"",$L73,IF(IFERROR(INDEX('Référentiel'!$D$2:$D$83,MATCH($C73,'Référentiel'!$A$2:$A$83,0)),0)&gt;0,IFERROR(INDEX('Référentiel'!$D$2:$D$83,MATCH($C73,'Référentiel'!$A$2:$A$83,0)),0),""))))))</f>
      </c>
      <c r="O73" s="9"/>
      <c r="P73" s="23"/>
      <c r="Q73" s="9"/>
      <c r="R73" s="24"/>
      <c r="S73" s="23"/>
      <c r="T73" s="23"/>
      <c r="U73" s="24"/>
      <c r="V73" s="20">
        <f>IF($C73="","",IFERROR(INDEX('Référentiel'!$K$2:$K$83,MATCH($C73,'Référentiel'!$A$2:$A$83,0)),""))</f>
      </c>
      <c r="W73" s="20">
        <f>IF(AND(ISNUMBER($G73),$I73&lt;&gt;"Hors service",$I73&lt;&gt;"Location terminée"),$G73+ROW()/100000,"")</f>
      </c>
      <c r="X73" s="9"/>
    </row>
    <row r="74" spans="1:24" x14ac:dyDescent="0.25">
      <c r="A74" s="9"/>
      <c r="B74" s="9"/>
      <c r="C74" s="9"/>
      <c r="D74" s="9"/>
      <c r="E74" s="19">
        <f>IF($A74="","",IF(SUMPRODUCT(MAX((Vérifications!$B$2:$B$1001=$A74)*Vérifications!$L$2:$L$1001))=0,"",SUMPRODUCT(MAX((Vérifications!$B$2:$B$1001=$A74)*Vérifications!$L$2:$L$1001))))</f>
      </c>
      <c r="F74" s="20">
        <f>IF($E74="","",IFERROR(INDEX(Vérifications!$E$2:$E$1001,MATCH($A74&amp;"|"&amp;$E74,Vérifications!$M$2:$M$1001,0)),""))</f>
      </c>
      <c r="G74" s="19">
        <f>IF($N74="","",IF(ISNUMBER($E74),EDATE($E74,$N74),IF(AND(ISNUMBER($U74),IFERROR(INDEX('Référentiel'!$E$2:$E$83,MATCH($C74,'Référentiel'!$A$2:$A$83,0)),0)&gt;0),EDATE($U74,IFERROR(INDEX('Référentiel'!$E$2:$E$83,MATCH($C74,'Référentiel'!$A$2:$A$83,0)),0)),"")))</f>
      </c>
      <c r="H74" s="21">
        <f>IF(ISNUMBER($G74),$G74-TODAY(),"")</f>
      </c>
      <c r="I74" s="20">
        <f>IF(AND($A74="",$C74=""),"",IF($T74="Non","Hors service",IF(AND($Q74="Location",ISNUMBER($R74),$R74&lt;TODAY()),"Location terminée",IF(OR($F74="Mise à l'arrêt",IF($A74="",0,SUMPRODUCT((Réserves!$B$2:$B$301=$A74)*(Réserves!$E$2:$E$301="Mise à l'arrêt")*(Réserves!$J$2:$J$301&lt;&gt;"Levée")*(Réserves!$J$2:$J$301&lt;&gt;"")))&gt;0),"Arrêt : réserve à lever",IF($C74="","Type à choisir",IF($N74="","Périodicité à saisir",IF(OR(ISTEXT($U74),ISTEXT($R74)),"Date à corriger",IF(AND($E74="",$Q74="Location",$S74&lt;&gt;"Oui"),"Rapport loueur à obtenir",IF(NOT(ISNUMBER($G74)),"Vérif. initiale à tracer",IF($H74&lt;0,"En retard",IF(AND($Q74="Location",$S74&lt;&gt;"Oui"),"Rapport loueur à obtenir",IF($H74&lt;='Tableau de bord'!$C$4,"À planifier","À jour"))))))))))))</f>
      </c>
      <c r="J74" s="22">
        <f>IF($A74="","",COUNTIFS(Réserves!$B$2:$B$301,$A74,Réserves!$J$2:$J$301,"Ouverte")+COUNTIFS(Réserves!$B$2:$B$301,$A74,Réserves!$J$2:$J$301,"En retard"))</f>
      </c>
      <c r="K74" s="20">
        <f>IF($C74="","",IFERROR(INDEX('Référentiel'!$B$2:$B$83,MATCH($C74,'Référentiel'!$A$2:$A$83,0)),"Type hors liste"))</f>
      </c>
      <c r="L74" s="22">
        <f>IF($C74="","",IF(IFERROR(INDEX('Référentiel'!$C$2:$C$83,MATCH($C74,'Référentiel'!$A$2:$A$83,0)),0)=0,"",IFERROR(INDEX('Référentiel'!$C$2:$C$83,MATCH($C74,'Référentiel'!$A$2:$A$83,0)),0)))</f>
      </c>
      <c r="M74" s="23"/>
      <c r="N74" s="22">
        <f>IF($C74="","",IF(IF($M74&lt;&gt;"",IF($L74&lt;&gt;"",MIN($L74,$M74),$M74),IF($L74&lt;&gt;"",$L74,IF(IFERROR(INDEX('Référentiel'!$D$2:$D$83,MATCH($C74,'Référentiel'!$A$2:$A$83,0)),0)&gt;0,IFERROR(INDEX('Référentiel'!$D$2:$D$83,MATCH($C74,'Référentiel'!$A$2:$A$83,0)),0),"")))="","",IF(AND(IFERROR(INDEX('Référentiel'!$F$2:$F$83,MATCH($C74,'Référentiel'!$A$2:$A$83,0)),0)&gt;0,N($J74)&gt;0),MIN(IF($M74&lt;&gt;"",IF($L74&lt;&gt;"",MIN($L74,$M74),$M74),IF($L74&lt;&gt;"",$L74,IF(IFERROR(INDEX('Référentiel'!$D$2:$D$83,MATCH($C74,'Référentiel'!$A$2:$A$83,0)),0)&gt;0,IFERROR(INDEX('Référentiel'!$D$2:$D$83,MATCH($C74,'Référentiel'!$A$2:$A$83,0)),0),""))),IFERROR(INDEX('Référentiel'!$F$2:$F$83,MATCH($C74,'Référentiel'!$A$2:$A$83,0)),0)),IF($M74&lt;&gt;"",IF($L74&lt;&gt;"",MIN($L74,$M74),$M74),IF($L74&lt;&gt;"",$L74,IF(IFERROR(INDEX('Référentiel'!$D$2:$D$83,MATCH($C74,'Référentiel'!$A$2:$A$83,0)),0)&gt;0,IFERROR(INDEX('Référentiel'!$D$2:$D$83,MATCH($C74,'Référentiel'!$A$2:$A$83,0)),0),""))))))</f>
      </c>
      <c r="O74" s="9"/>
      <c r="P74" s="23"/>
      <c r="Q74" s="9"/>
      <c r="R74" s="24"/>
      <c r="S74" s="23"/>
      <c r="T74" s="23"/>
      <c r="U74" s="24"/>
      <c r="V74" s="20">
        <f>IF($C74="","",IFERROR(INDEX('Référentiel'!$K$2:$K$83,MATCH($C74,'Référentiel'!$A$2:$A$83,0)),""))</f>
      </c>
      <c r="W74" s="20">
        <f>IF(AND(ISNUMBER($G74),$I74&lt;&gt;"Hors service",$I74&lt;&gt;"Location terminée"),$G74+ROW()/100000,"")</f>
      </c>
      <c r="X74" s="9"/>
    </row>
    <row r="75" spans="1:24" x14ac:dyDescent="0.25">
      <c r="A75" s="9"/>
      <c r="B75" s="9"/>
      <c r="C75" s="9"/>
      <c r="D75" s="9"/>
      <c r="E75" s="19">
        <f>IF($A75="","",IF(SUMPRODUCT(MAX((Vérifications!$B$2:$B$1001=$A75)*Vérifications!$L$2:$L$1001))=0,"",SUMPRODUCT(MAX((Vérifications!$B$2:$B$1001=$A75)*Vérifications!$L$2:$L$1001))))</f>
      </c>
      <c r="F75" s="20">
        <f>IF($E75="","",IFERROR(INDEX(Vérifications!$E$2:$E$1001,MATCH($A75&amp;"|"&amp;$E75,Vérifications!$M$2:$M$1001,0)),""))</f>
      </c>
      <c r="G75" s="19">
        <f>IF($N75="","",IF(ISNUMBER($E75),EDATE($E75,$N75),IF(AND(ISNUMBER($U75),IFERROR(INDEX('Référentiel'!$E$2:$E$83,MATCH($C75,'Référentiel'!$A$2:$A$83,0)),0)&gt;0),EDATE($U75,IFERROR(INDEX('Référentiel'!$E$2:$E$83,MATCH($C75,'Référentiel'!$A$2:$A$83,0)),0)),"")))</f>
      </c>
      <c r="H75" s="21">
        <f>IF(ISNUMBER($G75),$G75-TODAY(),"")</f>
      </c>
      <c r="I75" s="20">
        <f>IF(AND($A75="",$C75=""),"",IF($T75="Non","Hors service",IF(AND($Q75="Location",ISNUMBER($R75),$R75&lt;TODAY()),"Location terminée",IF(OR($F75="Mise à l'arrêt",IF($A75="",0,SUMPRODUCT((Réserves!$B$2:$B$301=$A75)*(Réserves!$E$2:$E$301="Mise à l'arrêt")*(Réserves!$J$2:$J$301&lt;&gt;"Levée")*(Réserves!$J$2:$J$301&lt;&gt;"")))&gt;0),"Arrêt : réserve à lever",IF($C75="","Type à choisir",IF($N75="","Périodicité à saisir",IF(OR(ISTEXT($U75),ISTEXT($R75)),"Date à corriger",IF(AND($E75="",$Q75="Location",$S75&lt;&gt;"Oui"),"Rapport loueur à obtenir",IF(NOT(ISNUMBER($G75)),"Vérif. initiale à tracer",IF($H75&lt;0,"En retard",IF(AND($Q75="Location",$S75&lt;&gt;"Oui"),"Rapport loueur à obtenir",IF($H75&lt;='Tableau de bord'!$C$4,"À planifier","À jour"))))))))))))</f>
      </c>
      <c r="J75" s="22">
        <f>IF($A75="","",COUNTIFS(Réserves!$B$2:$B$301,$A75,Réserves!$J$2:$J$301,"Ouverte")+COUNTIFS(Réserves!$B$2:$B$301,$A75,Réserves!$J$2:$J$301,"En retard"))</f>
      </c>
      <c r="K75" s="20">
        <f>IF($C75="","",IFERROR(INDEX('Référentiel'!$B$2:$B$83,MATCH($C75,'Référentiel'!$A$2:$A$83,0)),"Type hors liste"))</f>
      </c>
      <c r="L75" s="22">
        <f>IF($C75="","",IF(IFERROR(INDEX('Référentiel'!$C$2:$C$83,MATCH($C75,'Référentiel'!$A$2:$A$83,0)),0)=0,"",IFERROR(INDEX('Référentiel'!$C$2:$C$83,MATCH($C75,'Référentiel'!$A$2:$A$83,0)),0)))</f>
      </c>
      <c r="M75" s="23"/>
      <c r="N75" s="22">
        <f>IF($C75="","",IF(IF($M75&lt;&gt;"",IF($L75&lt;&gt;"",MIN($L75,$M75),$M75),IF($L75&lt;&gt;"",$L75,IF(IFERROR(INDEX('Référentiel'!$D$2:$D$83,MATCH($C75,'Référentiel'!$A$2:$A$83,0)),0)&gt;0,IFERROR(INDEX('Référentiel'!$D$2:$D$83,MATCH($C75,'Référentiel'!$A$2:$A$83,0)),0),"")))="","",IF(AND(IFERROR(INDEX('Référentiel'!$F$2:$F$83,MATCH($C75,'Référentiel'!$A$2:$A$83,0)),0)&gt;0,N($J75)&gt;0),MIN(IF($M75&lt;&gt;"",IF($L75&lt;&gt;"",MIN($L75,$M75),$M75),IF($L75&lt;&gt;"",$L75,IF(IFERROR(INDEX('Référentiel'!$D$2:$D$83,MATCH($C75,'Référentiel'!$A$2:$A$83,0)),0)&gt;0,IFERROR(INDEX('Référentiel'!$D$2:$D$83,MATCH($C75,'Référentiel'!$A$2:$A$83,0)),0),""))),IFERROR(INDEX('Référentiel'!$F$2:$F$83,MATCH($C75,'Référentiel'!$A$2:$A$83,0)),0)),IF($M75&lt;&gt;"",IF($L75&lt;&gt;"",MIN($L75,$M75),$M75),IF($L75&lt;&gt;"",$L75,IF(IFERROR(INDEX('Référentiel'!$D$2:$D$83,MATCH($C75,'Référentiel'!$A$2:$A$83,0)),0)&gt;0,IFERROR(INDEX('Référentiel'!$D$2:$D$83,MATCH($C75,'Référentiel'!$A$2:$A$83,0)),0),""))))))</f>
      </c>
      <c r="O75" s="9"/>
      <c r="P75" s="23"/>
      <c r="Q75" s="9"/>
      <c r="R75" s="24"/>
      <c r="S75" s="23"/>
      <c r="T75" s="23"/>
      <c r="U75" s="24"/>
      <c r="V75" s="20">
        <f>IF($C75="","",IFERROR(INDEX('Référentiel'!$K$2:$K$83,MATCH($C75,'Référentiel'!$A$2:$A$83,0)),""))</f>
      </c>
      <c r="W75" s="20">
        <f>IF(AND(ISNUMBER($G75),$I75&lt;&gt;"Hors service",$I75&lt;&gt;"Location terminée"),$G75+ROW()/100000,"")</f>
      </c>
      <c r="X75" s="9"/>
    </row>
    <row r="76" spans="1:24" x14ac:dyDescent="0.25">
      <c r="A76" s="9"/>
      <c r="B76" s="9"/>
      <c r="C76" s="9"/>
      <c r="D76" s="9"/>
      <c r="E76" s="19">
        <f>IF($A76="","",IF(SUMPRODUCT(MAX((Vérifications!$B$2:$B$1001=$A76)*Vérifications!$L$2:$L$1001))=0,"",SUMPRODUCT(MAX((Vérifications!$B$2:$B$1001=$A76)*Vérifications!$L$2:$L$1001))))</f>
      </c>
      <c r="F76" s="20">
        <f>IF($E76="","",IFERROR(INDEX(Vérifications!$E$2:$E$1001,MATCH($A76&amp;"|"&amp;$E76,Vérifications!$M$2:$M$1001,0)),""))</f>
      </c>
      <c r="G76" s="19">
        <f>IF($N76="","",IF(ISNUMBER($E76),EDATE($E76,$N76),IF(AND(ISNUMBER($U76),IFERROR(INDEX('Référentiel'!$E$2:$E$83,MATCH($C76,'Référentiel'!$A$2:$A$83,0)),0)&gt;0),EDATE($U76,IFERROR(INDEX('Référentiel'!$E$2:$E$83,MATCH($C76,'Référentiel'!$A$2:$A$83,0)),0)),"")))</f>
      </c>
      <c r="H76" s="21">
        <f>IF(ISNUMBER($G76),$G76-TODAY(),"")</f>
      </c>
      <c r="I76" s="20">
        <f>IF(AND($A76="",$C76=""),"",IF($T76="Non","Hors service",IF(AND($Q76="Location",ISNUMBER($R76),$R76&lt;TODAY()),"Location terminée",IF(OR($F76="Mise à l'arrêt",IF($A76="",0,SUMPRODUCT((Réserves!$B$2:$B$301=$A76)*(Réserves!$E$2:$E$301="Mise à l'arrêt")*(Réserves!$J$2:$J$301&lt;&gt;"Levée")*(Réserves!$J$2:$J$301&lt;&gt;"")))&gt;0),"Arrêt : réserve à lever",IF($C76="","Type à choisir",IF($N76="","Périodicité à saisir",IF(OR(ISTEXT($U76),ISTEXT($R76)),"Date à corriger",IF(AND($E76="",$Q76="Location",$S76&lt;&gt;"Oui"),"Rapport loueur à obtenir",IF(NOT(ISNUMBER($G76)),"Vérif. initiale à tracer",IF($H76&lt;0,"En retard",IF(AND($Q76="Location",$S76&lt;&gt;"Oui"),"Rapport loueur à obtenir",IF($H76&lt;='Tableau de bord'!$C$4,"À planifier","À jour"))))))))))))</f>
      </c>
      <c r="J76" s="22">
        <f>IF($A76="","",COUNTIFS(Réserves!$B$2:$B$301,$A76,Réserves!$J$2:$J$301,"Ouverte")+COUNTIFS(Réserves!$B$2:$B$301,$A76,Réserves!$J$2:$J$301,"En retard"))</f>
      </c>
      <c r="K76" s="20">
        <f>IF($C76="","",IFERROR(INDEX('Référentiel'!$B$2:$B$83,MATCH($C76,'Référentiel'!$A$2:$A$83,0)),"Type hors liste"))</f>
      </c>
      <c r="L76" s="22">
        <f>IF($C76="","",IF(IFERROR(INDEX('Référentiel'!$C$2:$C$83,MATCH($C76,'Référentiel'!$A$2:$A$83,0)),0)=0,"",IFERROR(INDEX('Référentiel'!$C$2:$C$83,MATCH($C76,'Référentiel'!$A$2:$A$83,0)),0)))</f>
      </c>
      <c r="M76" s="23"/>
      <c r="N76" s="22">
        <f>IF($C76="","",IF(IF($M76&lt;&gt;"",IF($L76&lt;&gt;"",MIN($L76,$M76),$M76),IF($L76&lt;&gt;"",$L76,IF(IFERROR(INDEX('Référentiel'!$D$2:$D$83,MATCH($C76,'Référentiel'!$A$2:$A$83,0)),0)&gt;0,IFERROR(INDEX('Référentiel'!$D$2:$D$83,MATCH($C76,'Référentiel'!$A$2:$A$83,0)),0),"")))="","",IF(AND(IFERROR(INDEX('Référentiel'!$F$2:$F$83,MATCH($C76,'Référentiel'!$A$2:$A$83,0)),0)&gt;0,N($J76)&gt;0),MIN(IF($M76&lt;&gt;"",IF($L76&lt;&gt;"",MIN($L76,$M76),$M76),IF($L76&lt;&gt;"",$L76,IF(IFERROR(INDEX('Référentiel'!$D$2:$D$83,MATCH($C76,'Référentiel'!$A$2:$A$83,0)),0)&gt;0,IFERROR(INDEX('Référentiel'!$D$2:$D$83,MATCH($C76,'Référentiel'!$A$2:$A$83,0)),0),""))),IFERROR(INDEX('Référentiel'!$F$2:$F$83,MATCH($C76,'Référentiel'!$A$2:$A$83,0)),0)),IF($M76&lt;&gt;"",IF($L76&lt;&gt;"",MIN($L76,$M76),$M76),IF($L76&lt;&gt;"",$L76,IF(IFERROR(INDEX('Référentiel'!$D$2:$D$83,MATCH($C76,'Référentiel'!$A$2:$A$83,0)),0)&gt;0,IFERROR(INDEX('Référentiel'!$D$2:$D$83,MATCH($C76,'Référentiel'!$A$2:$A$83,0)),0),""))))))</f>
      </c>
      <c r="O76" s="9"/>
      <c r="P76" s="23"/>
      <c r="Q76" s="9"/>
      <c r="R76" s="24"/>
      <c r="S76" s="23"/>
      <c r="T76" s="23"/>
      <c r="U76" s="24"/>
      <c r="V76" s="20">
        <f>IF($C76="","",IFERROR(INDEX('Référentiel'!$K$2:$K$83,MATCH($C76,'Référentiel'!$A$2:$A$83,0)),""))</f>
      </c>
      <c r="W76" s="20">
        <f>IF(AND(ISNUMBER($G76),$I76&lt;&gt;"Hors service",$I76&lt;&gt;"Location terminée"),$G76+ROW()/100000,"")</f>
      </c>
      <c r="X76" s="9"/>
    </row>
    <row r="77" spans="1:24" x14ac:dyDescent="0.25">
      <c r="A77" s="9"/>
      <c r="B77" s="9"/>
      <c r="C77" s="9"/>
      <c r="D77" s="9"/>
      <c r="E77" s="19">
        <f>IF($A77="","",IF(SUMPRODUCT(MAX((Vérifications!$B$2:$B$1001=$A77)*Vérifications!$L$2:$L$1001))=0,"",SUMPRODUCT(MAX((Vérifications!$B$2:$B$1001=$A77)*Vérifications!$L$2:$L$1001))))</f>
      </c>
      <c r="F77" s="20">
        <f>IF($E77="","",IFERROR(INDEX(Vérifications!$E$2:$E$1001,MATCH($A77&amp;"|"&amp;$E77,Vérifications!$M$2:$M$1001,0)),""))</f>
      </c>
      <c r="G77" s="19">
        <f>IF($N77="","",IF(ISNUMBER($E77),EDATE($E77,$N77),IF(AND(ISNUMBER($U77),IFERROR(INDEX('Référentiel'!$E$2:$E$83,MATCH($C77,'Référentiel'!$A$2:$A$83,0)),0)&gt;0),EDATE($U77,IFERROR(INDEX('Référentiel'!$E$2:$E$83,MATCH($C77,'Référentiel'!$A$2:$A$83,0)),0)),"")))</f>
      </c>
      <c r="H77" s="21">
        <f>IF(ISNUMBER($G77),$G77-TODAY(),"")</f>
      </c>
      <c r="I77" s="20">
        <f>IF(AND($A77="",$C77=""),"",IF($T77="Non","Hors service",IF(AND($Q77="Location",ISNUMBER($R77),$R77&lt;TODAY()),"Location terminée",IF(OR($F77="Mise à l'arrêt",IF($A77="",0,SUMPRODUCT((Réserves!$B$2:$B$301=$A77)*(Réserves!$E$2:$E$301="Mise à l'arrêt")*(Réserves!$J$2:$J$301&lt;&gt;"Levée")*(Réserves!$J$2:$J$301&lt;&gt;"")))&gt;0),"Arrêt : réserve à lever",IF($C77="","Type à choisir",IF($N77="","Périodicité à saisir",IF(OR(ISTEXT($U77),ISTEXT($R77)),"Date à corriger",IF(AND($E77="",$Q77="Location",$S77&lt;&gt;"Oui"),"Rapport loueur à obtenir",IF(NOT(ISNUMBER($G77)),"Vérif. initiale à tracer",IF($H77&lt;0,"En retard",IF(AND($Q77="Location",$S77&lt;&gt;"Oui"),"Rapport loueur à obtenir",IF($H77&lt;='Tableau de bord'!$C$4,"À planifier","À jour"))))))))))))</f>
      </c>
      <c r="J77" s="22">
        <f>IF($A77="","",COUNTIFS(Réserves!$B$2:$B$301,$A77,Réserves!$J$2:$J$301,"Ouverte")+COUNTIFS(Réserves!$B$2:$B$301,$A77,Réserves!$J$2:$J$301,"En retard"))</f>
      </c>
      <c r="K77" s="20">
        <f>IF($C77="","",IFERROR(INDEX('Référentiel'!$B$2:$B$83,MATCH($C77,'Référentiel'!$A$2:$A$83,0)),"Type hors liste"))</f>
      </c>
      <c r="L77" s="22">
        <f>IF($C77="","",IF(IFERROR(INDEX('Référentiel'!$C$2:$C$83,MATCH($C77,'Référentiel'!$A$2:$A$83,0)),0)=0,"",IFERROR(INDEX('Référentiel'!$C$2:$C$83,MATCH($C77,'Référentiel'!$A$2:$A$83,0)),0)))</f>
      </c>
      <c r="M77" s="23"/>
      <c r="N77" s="22">
        <f>IF($C77="","",IF(IF($M77&lt;&gt;"",IF($L77&lt;&gt;"",MIN($L77,$M77),$M77),IF($L77&lt;&gt;"",$L77,IF(IFERROR(INDEX('Référentiel'!$D$2:$D$83,MATCH($C77,'Référentiel'!$A$2:$A$83,0)),0)&gt;0,IFERROR(INDEX('Référentiel'!$D$2:$D$83,MATCH($C77,'Référentiel'!$A$2:$A$83,0)),0),"")))="","",IF(AND(IFERROR(INDEX('Référentiel'!$F$2:$F$83,MATCH($C77,'Référentiel'!$A$2:$A$83,0)),0)&gt;0,N($J77)&gt;0),MIN(IF($M77&lt;&gt;"",IF($L77&lt;&gt;"",MIN($L77,$M77),$M77),IF($L77&lt;&gt;"",$L77,IF(IFERROR(INDEX('Référentiel'!$D$2:$D$83,MATCH($C77,'Référentiel'!$A$2:$A$83,0)),0)&gt;0,IFERROR(INDEX('Référentiel'!$D$2:$D$83,MATCH($C77,'Référentiel'!$A$2:$A$83,0)),0),""))),IFERROR(INDEX('Référentiel'!$F$2:$F$83,MATCH($C77,'Référentiel'!$A$2:$A$83,0)),0)),IF($M77&lt;&gt;"",IF($L77&lt;&gt;"",MIN($L77,$M77),$M77),IF($L77&lt;&gt;"",$L77,IF(IFERROR(INDEX('Référentiel'!$D$2:$D$83,MATCH($C77,'Référentiel'!$A$2:$A$83,0)),0)&gt;0,IFERROR(INDEX('Référentiel'!$D$2:$D$83,MATCH($C77,'Référentiel'!$A$2:$A$83,0)),0),""))))))</f>
      </c>
      <c r="O77" s="9"/>
      <c r="P77" s="23"/>
      <c r="Q77" s="9"/>
      <c r="R77" s="24"/>
      <c r="S77" s="23"/>
      <c r="T77" s="23"/>
      <c r="U77" s="24"/>
      <c r="V77" s="20">
        <f>IF($C77="","",IFERROR(INDEX('Référentiel'!$K$2:$K$83,MATCH($C77,'Référentiel'!$A$2:$A$83,0)),""))</f>
      </c>
      <c r="W77" s="20">
        <f>IF(AND(ISNUMBER($G77),$I77&lt;&gt;"Hors service",$I77&lt;&gt;"Location terminée"),$G77+ROW()/100000,"")</f>
      </c>
      <c r="X77" s="9"/>
    </row>
    <row r="78" spans="1:24" x14ac:dyDescent="0.25">
      <c r="A78" s="9"/>
      <c r="B78" s="9"/>
      <c r="C78" s="9"/>
      <c r="D78" s="9"/>
      <c r="E78" s="19">
        <f>IF($A78="","",IF(SUMPRODUCT(MAX((Vérifications!$B$2:$B$1001=$A78)*Vérifications!$L$2:$L$1001))=0,"",SUMPRODUCT(MAX((Vérifications!$B$2:$B$1001=$A78)*Vérifications!$L$2:$L$1001))))</f>
      </c>
      <c r="F78" s="20">
        <f>IF($E78="","",IFERROR(INDEX(Vérifications!$E$2:$E$1001,MATCH($A78&amp;"|"&amp;$E78,Vérifications!$M$2:$M$1001,0)),""))</f>
      </c>
      <c r="G78" s="19">
        <f>IF($N78="","",IF(ISNUMBER($E78),EDATE($E78,$N78),IF(AND(ISNUMBER($U78),IFERROR(INDEX('Référentiel'!$E$2:$E$83,MATCH($C78,'Référentiel'!$A$2:$A$83,0)),0)&gt;0),EDATE($U78,IFERROR(INDEX('Référentiel'!$E$2:$E$83,MATCH($C78,'Référentiel'!$A$2:$A$83,0)),0)),"")))</f>
      </c>
      <c r="H78" s="21">
        <f>IF(ISNUMBER($G78),$G78-TODAY(),"")</f>
      </c>
      <c r="I78" s="20">
        <f>IF(AND($A78="",$C78=""),"",IF($T78="Non","Hors service",IF(AND($Q78="Location",ISNUMBER($R78),$R78&lt;TODAY()),"Location terminée",IF(OR($F78="Mise à l'arrêt",IF($A78="",0,SUMPRODUCT((Réserves!$B$2:$B$301=$A78)*(Réserves!$E$2:$E$301="Mise à l'arrêt")*(Réserves!$J$2:$J$301&lt;&gt;"Levée")*(Réserves!$J$2:$J$301&lt;&gt;"")))&gt;0),"Arrêt : réserve à lever",IF($C78="","Type à choisir",IF($N78="","Périodicité à saisir",IF(OR(ISTEXT($U78),ISTEXT($R78)),"Date à corriger",IF(AND($E78="",$Q78="Location",$S78&lt;&gt;"Oui"),"Rapport loueur à obtenir",IF(NOT(ISNUMBER($G78)),"Vérif. initiale à tracer",IF($H78&lt;0,"En retard",IF(AND($Q78="Location",$S78&lt;&gt;"Oui"),"Rapport loueur à obtenir",IF($H78&lt;='Tableau de bord'!$C$4,"À planifier","À jour"))))))))))))</f>
      </c>
      <c r="J78" s="22">
        <f>IF($A78="","",COUNTIFS(Réserves!$B$2:$B$301,$A78,Réserves!$J$2:$J$301,"Ouverte")+COUNTIFS(Réserves!$B$2:$B$301,$A78,Réserves!$J$2:$J$301,"En retard"))</f>
      </c>
      <c r="K78" s="20">
        <f>IF($C78="","",IFERROR(INDEX('Référentiel'!$B$2:$B$83,MATCH($C78,'Référentiel'!$A$2:$A$83,0)),"Type hors liste"))</f>
      </c>
      <c r="L78" s="22">
        <f>IF($C78="","",IF(IFERROR(INDEX('Référentiel'!$C$2:$C$83,MATCH($C78,'Référentiel'!$A$2:$A$83,0)),0)=0,"",IFERROR(INDEX('Référentiel'!$C$2:$C$83,MATCH($C78,'Référentiel'!$A$2:$A$83,0)),0)))</f>
      </c>
      <c r="M78" s="23"/>
      <c r="N78" s="22">
        <f>IF($C78="","",IF(IF($M78&lt;&gt;"",IF($L78&lt;&gt;"",MIN($L78,$M78),$M78),IF($L78&lt;&gt;"",$L78,IF(IFERROR(INDEX('Référentiel'!$D$2:$D$83,MATCH($C78,'Référentiel'!$A$2:$A$83,0)),0)&gt;0,IFERROR(INDEX('Référentiel'!$D$2:$D$83,MATCH($C78,'Référentiel'!$A$2:$A$83,0)),0),"")))="","",IF(AND(IFERROR(INDEX('Référentiel'!$F$2:$F$83,MATCH($C78,'Référentiel'!$A$2:$A$83,0)),0)&gt;0,N($J78)&gt;0),MIN(IF($M78&lt;&gt;"",IF($L78&lt;&gt;"",MIN($L78,$M78),$M78),IF($L78&lt;&gt;"",$L78,IF(IFERROR(INDEX('Référentiel'!$D$2:$D$83,MATCH($C78,'Référentiel'!$A$2:$A$83,0)),0)&gt;0,IFERROR(INDEX('Référentiel'!$D$2:$D$83,MATCH($C78,'Référentiel'!$A$2:$A$83,0)),0),""))),IFERROR(INDEX('Référentiel'!$F$2:$F$83,MATCH($C78,'Référentiel'!$A$2:$A$83,0)),0)),IF($M78&lt;&gt;"",IF($L78&lt;&gt;"",MIN($L78,$M78),$M78),IF($L78&lt;&gt;"",$L78,IF(IFERROR(INDEX('Référentiel'!$D$2:$D$83,MATCH($C78,'Référentiel'!$A$2:$A$83,0)),0)&gt;0,IFERROR(INDEX('Référentiel'!$D$2:$D$83,MATCH($C78,'Référentiel'!$A$2:$A$83,0)),0),""))))))</f>
      </c>
      <c r="O78" s="9"/>
      <c r="P78" s="23"/>
      <c r="Q78" s="9"/>
      <c r="R78" s="24"/>
      <c r="S78" s="23"/>
      <c r="T78" s="23"/>
      <c r="U78" s="24"/>
      <c r="V78" s="20">
        <f>IF($C78="","",IFERROR(INDEX('Référentiel'!$K$2:$K$83,MATCH($C78,'Référentiel'!$A$2:$A$83,0)),""))</f>
      </c>
      <c r="W78" s="20">
        <f>IF(AND(ISNUMBER($G78),$I78&lt;&gt;"Hors service",$I78&lt;&gt;"Location terminée"),$G78+ROW()/100000,"")</f>
      </c>
      <c r="X78" s="9"/>
    </row>
    <row r="79" spans="1:24" x14ac:dyDescent="0.25">
      <c r="A79" s="9"/>
      <c r="B79" s="9"/>
      <c r="C79" s="9"/>
      <c r="D79" s="9"/>
      <c r="E79" s="19">
        <f>IF($A79="","",IF(SUMPRODUCT(MAX((Vérifications!$B$2:$B$1001=$A79)*Vérifications!$L$2:$L$1001))=0,"",SUMPRODUCT(MAX((Vérifications!$B$2:$B$1001=$A79)*Vérifications!$L$2:$L$1001))))</f>
      </c>
      <c r="F79" s="20">
        <f>IF($E79="","",IFERROR(INDEX(Vérifications!$E$2:$E$1001,MATCH($A79&amp;"|"&amp;$E79,Vérifications!$M$2:$M$1001,0)),""))</f>
      </c>
      <c r="G79" s="19">
        <f>IF($N79="","",IF(ISNUMBER($E79),EDATE($E79,$N79),IF(AND(ISNUMBER($U79),IFERROR(INDEX('Référentiel'!$E$2:$E$83,MATCH($C79,'Référentiel'!$A$2:$A$83,0)),0)&gt;0),EDATE($U79,IFERROR(INDEX('Référentiel'!$E$2:$E$83,MATCH($C79,'Référentiel'!$A$2:$A$83,0)),0)),"")))</f>
      </c>
      <c r="H79" s="21">
        <f>IF(ISNUMBER($G79),$G79-TODAY(),"")</f>
      </c>
      <c r="I79" s="20">
        <f>IF(AND($A79="",$C79=""),"",IF($T79="Non","Hors service",IF(AND($Q79="Location",ISNUMBER($R79),$R79&lt;TODAY()),"Location terminée",IF(OR($F79="Mise à l'arrêt",IF($A79="",0,SUMPRODUCT((Réserves!$B$2:$B$301=$A79)*(Réserves!$E$2:$E$301="Mise à l'arrêt")*(Réserves!$J$2:$J$301&lt;&gt;"Levée")*(Réserves!$J$2:$J$301&lt;&gt;"")))&gt;0),"Arrêt : réserve à lever",IF($C79="","Type à choisir",IF($N79="","Périodicité à saisir",IF(OR(ISTEXT($U79),ISTEXT($R79)),"Date à corriger",IF(AND($E79="",$Q79="Location",$S79&lt;&gt;"Oui"),"Rapport loueur à obtenir",IF(NOT(ISNUMBER($G79)),"Vérif. initiale à tracer",IF($H79&lt;0,"En retard",IF(AND($Q79="Location",$S79&lt;&gt;"Oui"),"Rapport loueur à obtenir",IF($H79&lt;='Tableau de bord'!$C$4,"À planifier","À jour"))))))))))))</f>
      </c>
      <c r="J79" s="22">
        <f>IF($A79="","",COUNTIFS(Réserves!$B$2:$B$301,$A79,Réserves!$J$2:$J$301,"Ouverte")+COUNTIFS(Réserves!$B$2:$B$301,$A79,Réserves!$J$2:$J$301,"En retard"))</f>
      </c>
      <c r="K79" s="20">
        <f>IF($C79="","",IFERROR(INDEX('Référentiel'!$B$2:$B$83,MATCH($C79,'Référentiel'!$A$2:$A$83,0)),"Type hors liste"))</f>
      </c>
      <c r="L79" s="22">
        <f>IF($C79="","",IF(IFERROR(INDEX('Référentiel'!$C$2:$C$83,MATCH($C79,'Référentiel'!$A$2:$A$83,0)),0)=0,"",IFERROR(INDEX('Référentiel'!$C$2:$C$83,MATCH($C79,'Référentiel'!$A$2:$A$83,0)),0)))</f>
      </c>
      <c r="M79" s="23"/>
      <c r="N79" s="22">
        <f>IF($C79="","",IF(IF($M79&lt;&gt;"",IF($L79&lt;&gt;"",MIN($L79,$M79),$M79),IF($L79&lt;&gt;"",$L79,IF(IFERROR(INDEX('Référentiel'!$D$2:$D$83,MATCH($C79,'Référentiel'!$A$2:$A$83,0)),0)&gt;0,IFERROR(INDEX('Référentiel'!$D$2:$D$83,MATCH($C79,'Référentiel'!$A$2:$A$83,0)),0),"")))="","",IF(AND(IFERROR(INDEX('Référentiel'!$F$2:$F$83,MATCH($C79,'Référentiel'!$A$2:$A$83,0)),0)&gt;0,N($J79)&gt;0),MIN(IF($M79&lt;&gt;"",IF($L79&lt;&gt;"",MIN($L79,$M79),$M79),IF($L79&lt;&gt;"",$L79,IF(IFERROR(INDEX('Référentiel'!$D$2:$D$83,MATCH($C79,'Référentiel'!$A$2:$A$83,0)),0)&gt;0,IFERROR(INDEX('Référentiel'!$D$2:$D$83,MATCH($C79,'Référentiel'!$A$2:$A$83,0)),0),""))),IFERROR(INDEX('Référentiel'!$F$2:$F$83,MATCH($C79,'Référentiel'!$A$2:$A$83,0)),0)),IF($M79&lt;&gt;"",IF($L79&lt;&gt;"",MIN($L79,$M79),$M79),IF($L79&lt;&gt;"",$L79,IF(IFERROR(INDEX('Référentiel'!$D$2:$D$83,MATCH($C79,'Référentiel'!$A$2:$A$83,0)),0)&gt;0,IFERROR(INDEX('Référentiel'!$D$2:$D$83,MATCH($C79,'Référentiel'!$A$2:$A$83,0)),0),""))))))</f>
      </c>
      <c r="O79" s="9"/>
      <c r="P79" s="23"/>
      <c r="Q79" s="9"/>
      <c r="R79" s="24"/>
      <c r="S79" s="23"/>
      <c r="T79" s="23"/>
      <c r="U79" s="24"/>
      <c r="V79" s="20">
        <f>IF($C79="","",IFERROR(INDEX('Référentiel'!$K$2:$K$83,MATCH($C79,'Référentiel'!$A$2:$A$83,0)),""))</f>
      </c>
      <c r="W79" s="20">
        <f>IF(AND(ISNUMBER($G79),$I79&lt;&gt;"Hors service",$I79&lt;&gt;"Location terminée"),$G79+ROW()/100000,"")</f>
      </c>
      <c r="X79" s="9"/>
    </row>
    <row r="80" spans="1:24" x14ac:dyDescent="0.25">
      <c r="A80" s="9"/>
      <c r="B80" s="9"/>
      <c r="C80" s="9"/>
      <c r="D80" s="9"/>
      <c r="E80" s="19">
        <f>IF($A80="","",IF(SUMPRODUCT(MAX((Vérifications!$B$2:$B$1001=$A80)*Vérifications!$L$2:$L$1001))=0,"",SUMPRODUCT(MAX((Vérifications!$B$2:$B$1001=$A80)*Vérifications!$L$2:$L$1001))))</f>
      </c>
      <c r="F80" s="20">
        <f>IF($E80="","",IFERROR(INDEX(Vérifications!$E$2:$E$1001,MATCH($A80&amp;"|"&amp;$E80,Vérifications!$M$2:$M$1001,0)),""))</f>
      </c>
      <c r="G80" s="19">
        <f>IF($N80="","",IF(ISNUMBER($E80),EDATE($E80,$N80),IF(AND(ISNUMBER($U80),IFERROR(INDEX('Référentiel'!$E$2:$E$83,MATCH($C80,'Référentiel'!$A$2:$A$83,0)),0)&gt;0),EDATE($U80,IFERROR(INDEX('Référentiel'!$E$2:$E$83,MATCH($C80,'Référentiel'!$A$2:$A$83,0)),0)),"")))</f>
      </c>
      <c r="H80" s="21">
        <f>IF(ISNUMBER($G80),$G80-TODAY(),"")</f>
      </c>
      <c r="I80" s="20">
        <f>IF(AND($A80="",$C80=""),"",IF($T80="Non","Hors service",IF(AND($Q80="Location",ISNUMBER($R80),$R80&lt;TODAY()),"Location terminée",IF(OR($F80="Mise à l'arrêt",IF($A80="",0,SUMPRODUCT((Réserves!$B$2:$B$301=$A80)*(Réserves!$E$2:$E$301="Mise à l'arrêt")*(Réserves!$J$2:$J$301&lt;&gt;"Levée")*(Réserves!$J$2:$J$301&lt;&gt;"")))&gt;0),"Arrêt : réserve à lever",IF($C80="","Type à choisir",IF($N80="","Périodicité à saisir",IF(OR(ISTEXT($U80),ISTEXT($R80)),"Date à corriger",IF(AND($E80="",$Q80="Location",$S80&lt;&gt;"Oui"),"Rapport loueur à obtenir",IF(NOT(ISNUMBER($G80)),"Vérif. initiale à tracer",IF($H80&lt;0,"En retard",IF(AND($Q80="Location",$S80&lt;&gt;"Oui"),"Rapport loueur à obtenir",IF($H80&lt;='Tableau de bord'!$C$4,"À planifier","À jour"))))))))))))</f>
      </c>
      <c r="J80" s="22">
        <f>IF($A80="","",COUNTIFS(Réserves!$B$2:$B$301,$A80,Réserves!$J$2:$J$301,"Ouverte")+COUNTIFS(Réserves!$B$2:$B$301,$A80,Réserves!$J$2:$J$301,"En retard"))</f>
      </c>
      <c r="K80" s="20">
        <f>IF($C80="","",IFERROR(INDEX('Référentiel'!$B$2:$B$83,MATCH($C80,'Référentiel'!$A$2:$A$83,0)),"Type hors liste"))</f>
      </c>
      <c r="L80" s="22">
        <f>IF($C80="","",IF(IFERROR(INDEX('Référentiel'!$C$2:$C$83,MATCH($C80,'Référentiel'!$A$2:$A$83,0)),0)=0,"",IFERROR(INDEX('Référentiel'!$C$2:$C$83,MATCH($C80,'Référentiel'!$A$2:$A$83,0)),0)))</f>
      </c>
      <c r="M80" s="23"/>
      <c r="N80" s="22">
        <f>IF($C80="","",IF(IF($M80&lt;&gt;"",IF($L80&lt;&gt;"",MIN($L80,$M80),$M80),IF($L80&lt;&gt;"",$L80,IF(IFERROR(INDEX('Référentiel'!$D$2:$D$83,MATCH($C80,'Référentiel'!$A$2:$A$83,0)),0)&gt;0,IFERROR(INDEX('Référentiel'!$D$2:$D$83,MATCH($C80,'Référentiel'!$A$2:$A$83,0)),0),"")))="","",IF(AND(IFERROR(INDEX('Référentiel'!$F$2:$F$83,MATCH($C80,'Référentiel'!$A$2:$A$83,0)),0)&gt;0,N($J80)&gt;0),MIN(IF($M80&lt;&gt;"",IF($L80&lt;&gt;"",MIN($L80,$M80),$M80),IF($L80&lt;&gt;"",$L80,IF(IFERROR(INDEX('Référentiel'!$D$2:$D$83,MATCH($C80,'Référentiel'!$A$2:$A$83,0)),0)&gt;0,IFERROR(INDEX('Référentiel'!$D$2:$D$83,MATCH($C80,'Référentiel'!$A$2:$A$83,0)),0),""))),IFERROR(INDEX('Référentiel'!$F$2:$F$83,MATCH($C80,'Référentiel'!$A$2:$A$83,0)),0)),IF($M80&lt;&gt;"",IF($L80&lt;&gt;"",MIN($L80,$M80),$M80),IF($L80&lt;&gt;"",$L80,IF(IFERROR(INDEX('Référentiel'!$D$2:$D$83,MATCH($C80,'Référentiel'!$A$2:$A$83,0)),0)&gt;0,IFERROR(INDEX('Référentiel'!$D$2:$D$83,MATCH($C80,'Référentiel'!$A$2:$A$83,0)),0),""))))))</f>
      </c>
      <c r="O80" s="9"/>
      <c r="P80" s="23"/>
      <c r="Q80" s="9"/>
      <c r="R80" s="24"/>
      <c r="S80" s="23"/>
      <c r="T80" s="23"/>
      <c r="U80" s="24"/>
      <c r="V80" s="20">
        <f>IF($C80="","",IFERROR(INDEX('Référentiel'!$K$2:$K$83,MATCH($C80,'Référentiel'!$A$2:$A$83,0)),""))</f>
      </c>
      <c r="W80" s="20">
        <f>IF(AND(ISNUMBER($G80),$I80&lt;&gt;"Hors service",$I80&lt;&gt;"Location terminée"),$G80+ROW()/100000,"")</f>
      </c>
      <c r="X80" s="9"/>
    </row>
    <row r="81" spans="1:24" x14ac:dyDescent="0.25">
      <c r="A81" s="9"/>
      <c r="B81" s="9"/>
      <c r="C81" s="9"/>
      <c r="D81" s="9"/>
      <c r="E81" s="19">
        <f>IF($A81="","",IF(SUMPRODUCT(MAX((Vérifications!$B$2:$B$1001=$A81)*Vérifications!$L$2:$L$1001))=0,"",SUMPRODUCT(MAX((Vérifications!$B$2:$B$1001=$A81)*Vérifications!$L$2:$L$1001))))</f>
      </c>
      <c r="F81" s="20">
        <f>IF($E81="","",IFERROR(INDEX(Vérifications!$E$2:$E$1001,MATCH($A81&amp;"|"&amp;$E81,Vérifications!$M$2:$M$1001,0)),""))</f>
      </c>
      <c r="G81" s="19">
        <f>IF($N81="","",IF(ISNUMBER($E81),EDATE($E81,$N81),IF(AND(ISNUMBER($U81),IFERROR(INDEX('Référentiel'!$E$2:$E$83,MATCH($C81,'Référentiel'!$A$2:$A$83,0)),0)&gt;0),EDATE($U81,IFERROR(INDEX('Référentiel'!$E$2:$E$83,MATCH($C81,'Référentiel'!$A$2:$A$83,0)),0)),"")))</f>
      </c>
      <c r="H81" s="21">
        <f>IF(ISNUMBER($G81),$G81-TODAY(),"")</f>
      </c>
      <c r="I81" s="20">
        <f>IF(AND($A81="",$C81=""),"",IF($T81="Non","Hors service",IF(AND($Q81="Location",ISNUMBER($R81),$R81&lt;TODAY()),"Location terminée",IF(OR($F81="Mise à l'arrêt",IF($A81="",0,SUMPRODUCT((Réserves!$B$2:$B$301=$A81)*(Réserves!$E$2:$E$301="Mise à l'arrêt")*(Réserves!$J$2:$J$301&lt;&gt;"Levée")*(Réserves!$J$2:$J$301&lt;&gt;"")))&gt;0),"Arrêt : réserve à lever",IF($C81="","Type à choisir",IF($N81="","Périodicité à saisir",IF(OR(ISTEXT($U81),ISTEXT($R81)),"Date à corriger",IF(AND($E81="",$Q81="Location",$S81&lt;&gt;"Oui"),"Rapport loueur à obtenir",IF(NOT(ISNUMBER($G81)),"Vérif. initiale à tracer",IF($H81&lt;0,"En retard",IF(AND($Q81="Location",$S81&lt;&gt;"Oui"),"Rapport loueur à obtenir",IF($H81&lt;='Tableau de bord'!$C$4,"À planifier","À jour"))))))))))))</f>
      </c>
      <c r="J81" s="22">
        <f>IF($A81="","",COUNTIFS(Réserves!$B$2:$B$301,$A81,Réserves!$J$2:$J$301,"Ouverte")+COUNTIFS(Réserves!$B$2:$B$301,$A81,Réserves!$J$2:$J$301,"En retard"))</f>
      </c>
      <c r="K81" s="20">
        <f>IF($C81="","",IFERROR(INDEX('Référentiel'!$B$2:$B$83,MATCH($C81,'Référentiel'!$A$2:$A$83,0)),"Type hors liste"))</f>
      </c>
      <c r="L81" s="22">
        <f>IF($C81="","",IF(IFERROR(INDEX('Référentiel'!$C$2:$C$83,MATCH($C81,'Référentiel'!$A$2:$A$83,0)),0)=0,"",IFERROR(INDEX('Référentiel'!$C$2:$C$83,MATCH($C81,'Référentiel'!$A$2:$A$83,0)),0)))</f>
      </c>
      <c r="M81" s="23"/>
      <c r="N81" s="22">
        <f>IF($C81="","",IF(IF($M81&lt;&gt;"",IF($L81&lt;&gt;"",MIN($L81,$M81),$M81),IF($L81&lt;&gt;"",$L81,IF(IFERROR(INDEX('Référentiel'!$D$2:$D$83,MATCH($C81,'Référentiel'!$A$2:$A$83,0)),0)&gt;0,IFERROR(INDEX('Référentiel'!$D$2:$D$83,MATCH($C81,'Référentiel'!$A$2:$A$83,0)),0),"")))="","",IF(AND(IFERROR(INDEX('Référentiel'!$F$2:$F$83,MATCH($C81,'Référentiel'!$A$2:$A$83,0)),0)&gt;0,N($J81)&gt;0),MIN(IF($M81&lt;&gt;"",IF($L81&lt;&gt;"",MIN($L81,$M81),$M81),IF($L81&lt;&gt;"",$L81,IF(IFERROR(INDEX('Référentiel'!$D$2:$D$83,MATCH($C81,'Référentiel'!$A$2:$A$83,0)),0)&gt;0,IFERROR(INDEX('Référentiel'!$D$2:$D$83,MATCH($C81,'Référentiel'!$A$2:$A$83,0)),0),""))),IFERROR(INDEX('Référentiel'!$F$2:$F$83,MATCH($C81,'Référentiel'!$A$2:$A$83,0)),0)),IF($M81&lt;&gt;"",IF($L81&lt;&gt;"",MIN($L81,$M81),$M81),IF($L81&lt;&gt;"",$L81,IF(IFERROR(INDEX('Référentiel'!$D$2:$D$83,MATCH($C81,'Référentiel'!$A$2:$A$83,0)),0)&gt;0,IFERROR(INDEX('Référentiel'!$D$2:$D$83,MATCH($C81,'Référentiel'!$A$2:$A$83,0)),0),""))))))</f>
      </c>
      <c r="O81" s="9"/>
      <c r="P81" s="23"/>
      <c r="Q81" s="9"/>
      <c r="R81" s="24"/>
      <c r="S81" s="23"/>
      <c r="T81" s="23"/>
      <c r="U81" s="24"/>
      <c r="V81" s="20">
        <f>IF($C81="","",IFERROR(INDEX('Référentiel'!$K$2:$K$83,MATCH($C81,'Référentiel'!$A$2:$A$83,0)),""))</f>
      </c>
      <c r="W81" s="20">
        <f>IF(AND(ISNUMBER($G81),$I81&lt;&gt;"Hors service",$I81&lt;&gt;"Location terminée"),$G81+ROW()/100000,"")</f>
      </c>
      <c r="X81" s="9"/>
    </row>
    <row r="82" spans="1:24" x14ac:dyDescent="0.25">
      <c r="A82" s="9"/>
      <c r="B82" s="9"/>
      <c r="C82" s="9"/>
      <c r="D82" s="9"/>
      <c r="E82" s="19">
        <f>IF($A82="","",IF(SUMPRODUCT(MAX((Vérifications!$B$2:$B$1001=$A82)*Vérifications!$L$2:$L$1001))=0,"",SUMPRODUCT(MAX((Vérifications!$B$2:$B$1001=$A82)*Vérifications!$L$2:$L$1001))))</f>
      </c>
      <c r="F82" s="20">
        <f>IF($E82="","",IFERROR(INDEX(Vérifications!$E$2:$E$1001,MATCH($A82&amp;"|"&amp;$E82,Vérifications!$M$2:$M$1001,0)),""))</f>
      </c>
      <c r="G82" s="19">
        <f>IF($N82="","",IF(ISNUMBER($E82),EDATE($E82,$N82),IF(AND(ISNUMBER($U82),IFERROR(INDEX('Référentiel'!$E$2:$E$83,MATCH($C82,'Référentiel'!$A$2:$A$83,0)),0)&gt;0),EDATE($U82,IFERROR(INDEX('Référentiel'!$E$2:$E$83,MATCH($C82,'Référentiel'!$A$2:$A$83,0)),0)),"")))</f>
      </c>
      <c r="H82" s="21">
        <f>IF(ISNUMBER($G82),$G82-TODAY(),"")</f>
      </c>
      <c r="I82" s="20">
        <f>IF(AND($A82="",$C82=""),"",IF($T82="Non","Hors service",IF(AND($Q82="Location",ISNUMBER($R82),$R82&lt;TODAY()),"Location terminée",IF(OR($F82="Mise à l'arrêt",IF($A82="",0,SUMPRODUCT((Réserves!$B$2:$B$301=$A82)*(Réserves!$E$2:$E$301="Mise à l'arrêt")*(Réserves!$J$2:$J$301&lt;&gt;"Levée")*(Réserves!$J$2:$J$301&lt;&gt;"")))&gt;0),"Arrêt : réserve à lever",IF($C82="","Type à choisir",IF($N82="","Périodicité à saisir",IF(OR(ISTEXT($U82),ISTEXT($R82)),"Date à corriger",IF(AND($E82="",$Q82="Location",$S82&lt;&gt;"Oui"),"Rapport loueur à obtenir",IF(NOT(ISNUMBER($G82)),"Vérif. initiale à tracer",IF($H82&lt;0,"En retard",IF(AND($Q82="Location",$S82&lt;&gt;"Oui"),"Rapport loueur à obtenir",IF($H82&lt;='Tableau de bord'!$C$4,"À planifier","À jour"))))))))))))</f>
      </c>
      <c r="J82" s="22">
        <f>IF($A82="","",COUNTIFS(Réserves!$B$2:$B$301,$A82,Réserves!$J$2:$J$301,"Ouverte")+COUNTIFS(Réserves!$B$2:$B$301,$A82,Réserves!$J$2:$J$301,"En retard"))</f>
      </c>
      <c r="K82" s="20">
        <f>IF($C82="","",IFERROR(INDEX('Référentiel'!$B$2:$B$83,MATCH($C82,'Référentiel'!$A$2:$A$83,0)),"Type hors liste"))</f>
      </c>
      <c r="L82" s="22">
        <f>IF($C82="","",IF(IFERROR(INDEX('Référentiel'!$C$2:$C$83,MATCH($C82,'Référentiel'!$A$2:$A$83,0)),0)=0,"",IFERROR(INDEX('Référentiel'!$C$2:$C$83,MATCH($C82,'Référentiel'!$A$2:$A$83,0)),0)))</f>
      </c>
      <c r="M82" s="23"/>
      <c r="N82" s="22">
        <f>IF($C82="","",IF(IF($M82&lt;&gt;"",IF($L82&lt;&gt;"",MIN($L82,$M82),$M82),IF($L82&lt;&gt;"",$L82,IF(IFERROR(INDEX('Référentiel'!$D$2:$D$83,MATCH($C82,'Référentiel'!$A$2:$A$83,0)),0)&gt;0,IFERROR(INDEX('Référentiel'!$D$2:$D$83,MATCH($C82,'Référentiel'!$A$2:$A$83,0)),0),"")))="","",IF(AND(IFERROR(INDEX('Référentiel'!$F$2:$F$83,MATCH($C82,'Référentiel'!$A$2:$A$83,0)),0)&gt;0,N($J82)&gt;0),MIN(IF($M82&lt;&gt;"",IF($L82&lt;&gt;"",MIN($L82,$M82),$M82),IF($L82&lt;&gt;"",$L82,IF(IFERROR(INDEX('Référentiel'!$D$2:$D$83,MATCH($C82,'Référentiel'!$A$2:$A$83,0)),0)&gt;0,IFERROR(INDEX('Référentiel'!$D$2:$D$83,MATCH($C82,'Référentiel'!$A$2:$A$83,0)),0),""))),IFERROR(INDEX('Référentiel'!$F$2:$F$83,MATCH($C82,'Référentiel'!$A$2:$A$83,0)),0)),IF($M82&lt;&gt;"",IF($L82&lt;&gt;"",MIN($L82,$M82),$M82),IF($L82&lt;&gt;"",$L82,IF(IFERROR(INDEX('Référentiel'!$D$2:$D$83,MATCH($C82,'Référentiel'!$A$2:$A$83,0)),0)&gt;0,IFERROR(INDEX('Référentiel'!$D$2:$D$83,MATCH($C82,'Référentiel'!$A$2:$A$83,0)),0),""))))))</f>
      </c>
      <c r="O82" s="9"/>
      <c r="P82" s="23"/>
      <c r="Q82" s="9"/>
      <c r="R82" s="24"/>
      <c r="S82" s="23"/>
      <c r="T82" s="23"/>
      <c r="U82" s="24"/>
      <c r="V82" s="20">
        <f>IF($C82="","",IFERROR(INDEX('Référentiel'!$K$2:$K$83,MATCH($C82,'Référentiel'!$A$2:$A$83,0)),""))</f>
      </c>
      <c r="W82" s="20">
        <f>IF(AND(ISNUMBER($G82),$I82&lt;&gt;"Hors service",$I82&lt;&gt;"Location terminée"),$G82+ROW()/100000,"")</f>
      </c>
      <c r="X82" s="9"/>
    </row>
    <row r="83" spans="1:24" x14ac:dyDescent="0.25">
      <c r="A83" s="9"/>
      <c r="B83" s="9"/>
      <c r="C83" s="9"/>
      <c r="D83" s="9"/>
      <c r="E83" s="19">
        <f>IF($A83="","",IF(SUMPRODUCT(MAX((Vérifications!$B$2:$B$1001=$A83)*Vérifications!$L$2:$L$1001))=0,"",SUMPRODUCT(MAX((Vérifications!$B$2:$B$1001=$A83)*Vérifications!$L$2:$L$1001))))</f>
      </c>
      <c r="F83" s="20">
        <f>IF($E83="","",IFERROR(INDEX(Vérifications!$E$2:$E$1001,MATCH($A83&amp;"|"&amp;$E83,Vérifications!$M$2:$M$1001,0)),""))</f>
      </c>
      <c r="G83" s="19">
        <f>IF($N83="","",IF(ISNUMBER($E83),EDATE($E83,$N83),IF(AND(ISNUMBER($U83),IFERROR(INDEX('Référentiel'!$E$2:$E$83,MATCH($C83,'Référentiel'!$A$2:$A$83,0)),0)&gt;0),EDATE($U83,IFERROR(INDEX('Référentiel'!$E$2:$E$83,MATCH($C83,'Référentiel'!$A$2:$A$83,0)),0)),"")))</f>
      </c>
      <c r="H83" s="21">
        <f>IF(ISNUMBER($G83),$G83-TODAY(),"")</f>
      </c>
      <c r="I83" s="20">
        <f>IF(AND($A83="",$C83=""),"",IF($T83="Non","Hors service",IF(AND($Q83="Location",ISNUMBER($R83),$R83&lt;TODAY()),"Location terminée",IF(OR($F83="Mise à l'arrêt",IF($A83="",0,SUMPRODUCT((Réserves!$B$2:$B$301=$A83)*(Réserves!$E$2:$E$301="Mise à l'arrêt")*(Réserves!$J$2:$J$301&lt;&gt;"Levée")*(Réserves!$J$2:$J$301&lt;&gt;"")))&gt;0),"Arrêt : réserve à lever",IF($C83="","Type à choisir",IF($N83="","Périodicité à saisir",IF(OR(ISTEXT($U83),ISTEXT($R83)),"Date à corriger",IF(AND($E83="",$Q83="Location",$S83&lt;&gt;"Oui"),"Rapport loueur à obtenir",IF(NOT(ISNUMBER($G83)),"Vérif. initiale à tracer",IF($H83&lt;0,"En retard",IF(AND($Q83="Location",$S83&lt;&gt;"Oui"),"Rapport loueur à obtenir",IF($H83&lt;='Tableau de bord'!$C$4,"À planifier","À jour"))))))))))))</f>
      </c>
      <c r="J83" s="22">
        <f>IF($A83="","",COUNTIFS(Réserves!$B$2:$B$301,$A83,Réserves!$J$2:$J$301,"Ouverte")+COUNTIFS(Réserves!$B$2:$B$301,$A83,Réserves!$J$2:$J$301,"En retard"))</f>
      </c>
      <c r="K83" s="20">
        <f>IF($C83="","",IFERROR(INDEX('Référentiel'!$B$2:$B$83,MATCH($C83,'Référentiel'!$A$2:$A$83,0)),"Type hors liste"))</f>
      </c>
      <c r="L83" s="22">
        <f>IF($C83="","",IF(IFERROR(INDEX('Référentiel'!$C$2:$C$83,MATCH($C83,'Référentiel'!$A$2:$A$83,0)),0)=0,"",IFERROR(INDEX('Référentiel'!$C$2:$C$83,MATCH($C83,'Référentiel'!$A$2:$A$83,0)),0)))</f>
      </c>
      <c r="M83" s="23"/>
      <c r="N83" s="22">
        <f>IF($C83="","",IF(IF($M83&lt;&gt;"",IF($L83&lt;&gt;"",MIN($L83,$M83),$M83),IF($L83&lt;&gt;"",$L83,IF(IFERROR(INDEX('Référentiel'!$D$2:$D$83,MATCH($C83,'Référentiel'!$A$2:$A$83,0)),0)&gt;0,IFERROR(INDEX('Référentiel'!$D$2:$D$83,MATCH($C83,'Référentiel'!$A$2:$A$83,0)),0),"")))="","",IF(AND(IFERROR(INDEX('Référentiel'!$F$2:$F$83,MATCH($C83,'Référentiel'!$A$2:$A$83,0)),0)&gt;0,N($J83)&gt;0),MIN(IF($M83&lt;&gt;"",IF($L83&lt;&gt;"",MIN($L83,$M83),$M83),IF($L83&lt;&gt;"",$L83,IF(IFERROR(INDEX('Référentiel'!$D$2:$D$83,MATCH($C83,'Référentiel'!$A$2:$A$83,0)),0)&gt;0,IFERROR(INDEX('Référentiel'!$D$2:$D$83,MATCH($C83,'Référentiel'!$A$2:$A$83,0)),0),""))),IFERROR(INDEX('Référentiel'!$F$2:$F$83,MATCH($C83,'Référentiel'!$A$2:$A$83,0)),0)),IF($M83&lt;&gt;"",IF($L83&lt;&gt;"",MIN($L83,$M83),$M83),IF($L83&lt;&gt;"",$L83,IF(IFERROR(INDEX('Référentiel'!$D$2:$D$83,MATCH($C83,'Référentiel'!$A$2:$A$83,0)),0)&gt;0,IFERROR(INDEX('Référentiel'!$D$2:$D$83,MATCH($C83,'Référentiel'!$A$2:$A$83,0)),0),""))))))</f>
      </c>
      <c r="O83" s="9"/>
      <c r="P83" s="23"/>
      <c r="Q83" s="9"/>
      <c r="R83" s="24"/>
      <c r="S83" s="23"/>
      <c r="T83" s="23"/>
      <c r="U83" s="24"/>
      <c r="V83" s="20">
        <f>IF($C83="","",IFERROR(INDEX('Référentiel'!$K$2:$K$83,MATCH($C83,'Référentiel'!$A$2:$A$83,0)),""))</f>
      </c>
      <c r="W83" s="20">
        <f>IF(AND(ISNUMBER($G83),$I83&lt;&gt;"Hors service",$I83&lt;&gt;"Location terminée"),$G83+ROW()/100000,"")</f>
      </c>
      <c r="X83" s="9"/>
    </row>
    <row r="84" spans="1:24" x14ac:dyDescent="0.25">
      <c r="A84" s="9"/>
      <c r="B84" s="9"/>
      <c r="C84" s="9"/>
      <c r="D84" s="9"/>
      <c r="E84" s="19">
        <f>IF($A84="","",IF(SUMPRODUCT(MAX((Vérifications!$B$2:$B$1001=$A84)*Vérifications!$L$2:$L$1001))=0,"",SUMPRODUCT(MAX((Vérifications!$B$2:$B$1001=$A84)*Vérifications!$L$2:$L$1001))))</f>
      </c>
      <c r="F84" s="20">
        <f>IF($E84="","",IFERROR(INDEX(Vérifications!$E$2:$E$1001,MATCH($A84&amp;"|"&amp;$E84,Vérifications!$M$2:$M$1001,0)),""))</f>
      </c>
      <c r="G84" s="19">
        <f>IF($N84="","",IF(ISNUMBER($E84),EDATE($E84,$N84),IF(AND(ISNUMBER($U84),IFERROR(INDEX('Référentiel'!$E$2:$E$83,MATCH($C84,'Référentiel'!$A$2:$A$83,0)),0)&gt;0),EDATE($U84,IFERROR(INDEX('Référentiel'!$E$2:$E$83,MATCH($C84,'Référentiel'!$A$2:$A$83,0)),0)),"")))</f>
      </c>
      <c r="H84" s="21">
        <f>IF(ISNUMBER($G84),$G84-TODAY(),"")</f>
      </c>
      <c r="I84" s="20">
        <f>IF(AND($A84="",$C84=""),"",IF($T84="Non","Hors service",IF(AND($Q84="Location",ISNUMBER($R84),$R84&lt;TODAY()),"Location terminée",IF(OR($F84="Mise à l'arrêt",IF($A84="",0,SUMPRODUCT((Réserves!$B$2:$B$301=$A84)*(Réserves!$E$2:$E$301="Mise à l'arrêt")*(Réserves!$J$2:$J$301&lt;&gt;"Levée")*(Réserves!$J$2:$J$301&lt;&gt;"")))&gt;0),"Arrêt : réserve à lever",IF($C84="","Type à choisir",IF($N84="","Périodicité à saisir",IF(OR(ISTEXT($U84),ISTEXT($R84)),"Date à corriger",IF(AND($E84="",$Q84="Location",$S84&lt;&gt;"Oui"),"Rapport loueur à obtenir",IF(NOT(ISNUMBER($G84)),"Vérif. initiale à tracer",IF($H84&lt;0,"En retard",IF(AND($Q84="Location",$S84&lt;&gt;"Oui"),"Rapport loueur à obtenir",IF($H84&lt;='Tableau de bord'!$C$4,"À planifier","À jour"))))))))))))</f>
      </c>
      <c r="J84" s="22">
        <f>IF($A84="","",COUNTIFS(Réserves!$B$2:$B$301,$A84,Réserves!$J$2:$J$301,"Ouverte")+COUNTIFS(Réserves!$B$2:$B$301,$A84,Réserves!$J$2:$J$301,"En retard"))</f>
      </c>
      <c r="K84" s="20">
        <f>IF($C84="","",IFERROR(INDEX('Référentiel'!$B$2:$B$83,MATCH($C84,'Référentiel'!$A$2:$A$83,0)),"Type hors liste"))</f>
      </c>
      <c r="L84" s="22">
        <f>IF($C84="","",IF(IFERROR(INDEX('Référentiel'!$C$2:$C$83,MATCH($C84,'Référentiel'!$A$2:$A$83,0)),0)=0,"",IFERROR(INDEX('Référentiel'!$C$2:$C$83,MATCH($C84,'Référentiel'!$A$2:$A$83,0)),0)))</f>
      </c>
      <c r="M84" s="23"/>
      <c r="N84" s="22">
        <f>IF($C84="","",IF(IF($M84&lt;&gt;"",IF($L84&lt;&gt;"",MIN($L84,$M84),$M84),IF($L84&lt;&gt;"",$L84,IF(IFERROR(INDEX('Référentiel'!$D$2:$D$83,MATCH($C84,'Référentiel'!$A$2:$A$83,0)),0)&gt;0,IFERROR(INDEX('Référentiel'!$D$2:$D$83,MATCH($C84,'Référentiel'!$A$2:$A$83,0)),0),"")))="","",IF(AND(IFERROR(INDEX('Référentiel'!$F$2:$F$83,MATCH($C84,'Référentiel'!$A$2:$A$83,0)),0)&gt;0,N($J84)&gt;0),MIN(IF($M84&lt;&gt;"",IF($L84&lt;&gt;"",MIN($L84,$M84),$M84),IF($L84&lt;&gt;"",$L84,IF(IFERROR(INDEX('Référentiel'!$D$2:$D$83,MATCH($C84,'Référentiel'!$A$2:$A$83,0)),0)&gt;0,IFERROR(INDEX('Référentiel'!$D$2:$D$83,MATCH($C84,'Référentiel'!$A$2:$A$83,0)),0),""))),IFERROR(INDEX('Référentiel'!$F$2:$F$83,MATCH($C84,'Référentiel'!$A$2:$A$83,0)),0)),IF($M84&lt;&gt;"",IF($L84&lt;&gt;"",MIN($L84,$M84),$M84),IF($L84&lt;&gt;"",$L84,IF(IFERROR(INDEX('Référentiel'!$D$2:$D$83,MATCH($C84,'Référentiel'!$A$2:$A$83,0)),0)&gt;0,IFERROR(INDEX('Référentiel'!$D$2:$D$83,MATCH($C84,'Référentiel'!$A$2:$A$83,0)),0),""))))))</f>
      </c>
      <c r="O84" s="9"/>
      <c r="P84" s="23"/>
      <c r="Q84" s="9"/>
      <c r="R84" s="24"/>
      <c r="S84" s="23"/>
      <c r="T84" s="23"/>
      <c r="U84" s="24"/>
      <c r="V84" s="20">
        <f>IF($C84="","",IFERROR(INDEX('Référentiel'!$K$2:$K$83,MATCH($C84,'Référentiel'!$A$2:$A$83,0)),""))</f>
      </c>
      <c r="W84" s="20">
        <f>IF(AND(ISNUMBER($G84),$I84&lt;&gt;"Hors service",$I84&lt;&gt;"Location terminée"),$G84+ROW()/100000,"")</f>
      </c>
      <c r="X84" s="9"/>
    </row>
    <row r="85" spans="1:24" x14ac:dyDescent="0.25">
      <c r="A85" s="9"/>
      <c r="B85" s="9"/>
      <c r="C85" s="9"/>
      <c r="D85" s="9"/>
      <c r="E85" s="19">
        <f>IF($A85="","",IF(SUMPRODUCT(MAX((Vérifications!$B$2:$B$1001=$A85)*Vérifications!$L$2:$L$1001))=0,"",SUMPRODUCT(MAX((Vérifications!$B$2:$B$1001=$A85)*Vérifications!$L$2:$L$1001))))</f>
      </c>
      <c r="F85" s="20">
        <f>IF($E85="","",IFERROR(INDEX(Vérifications!$E$2:$E$1001,MATCH($A85&amp;"|"&amp;$E85,Vérifications!$M$2:$M$1001,0)),""))</f>
      </c>
      <c r="G85" s="19">
        <f>IF($N85="","",IF(ISNUMBER($E85),EDATE($E85,$N85),IF(AND(ISNUMBER($U85),IFERROR(INDEX('Référentiel'!$E$2:$E$83,MATCH($C85,'Référentiel'!$A$2:$A$83,0)),0)&gt;0),EDATE($U85,IFERROR(INDEX('Référentiel'!$E$2:$E$83,MATCH($C85,'Référentiel'!$A$2:$A$83,0)),0)),"")))</f>
      </c>
      <c r="H85" s="21">
        <f>IF(ISNUMBER($G85),$G85-TODAY(),"")</f>
      </c>
      <c r="I85" s="20">
        <f>IF(AND($A85="",$C85=""),"",IF($T85="Non","Hors service",IF(AND($Q85="Location",ISNUMBER($R85),$R85&lt;TODAY()),"Location terminée",IF(OR($F85="Mise à l'arrêt",IF($A85="",0,SUMPRODUCT((Réserves!$B$2:$B$301=$A85)*(Réserves!$E$2:$E$301="Mise à l'arrêt")*(Réserves!$J$2:$J$301&lt;&gt;"Levée")*(Réserves!$J$2:$J$301&lt;&gt;"")))&gt;0),"Arrêt : réserve à lever",IF($C85="","Type à choisir",IF($N85="","Périodicité à saisir",IF(OR(ISTEXT($U85),ISTEXT($R85)),"Date à corriger",IF(AND($E85="",$Q85="Location",$S85&lt;&gt;"Oui"),"Rapport loueur à obtenir",IF(NOT(ISNUMBER($G85)),"Vérif. initiale à tracer",IF($H85&lt;0,"En retard",IF(AND($Q85="Location",$S85&lt;&gt;"Oui"),"Rapport loueur à obtenir",IF($H85&lt;='Tableau de bord'!$C$4,"À planifier","À jour"))))))))))))</f>
      </c>
      <c r="J85" s="22">
        <f>IF($A85="","",COUNTIFS(Réserves!$B$2:$B$301,$A85,Réserves!$J$2:$J$301,"Ouverte")+COUNTIFS(Réserves!$B$2:$B$301,$A85,Réserves!$J$2:$J$301,"En retard"))</f>
      </c>
      <c r="K85" s="20">
        <f>IF($C85="","",IFERROR(INDEX('Référentiel'!$B$2:$B$83,MATCH($C85,'Référentiel'!$A$2:$A$83,0)),"Type hors liste"))</f>
      </c>
      <c r="L85" s="22">
        <f>IF($C85="","",IF(IFERROR(INDEX('Référentiel'!$C$2:$C$83,MATCH($C85,'Référentiel'!$A$2:$A$83,0)),0)=0,"",IFERROR(INDEX('Référentiel'!$C$2:$C$83,MATCH($C85,'Référentiel'!$A$2:$A$83,0)),0)))</f>
      </c>
      <c r="M85" s="23"/>
      <c r="N85" s="22">
        <f>IF($C85="","",IF(IF($M85&lt;&gt;"",IF($L85&lt;&gt;"",MIN($L85,$M85),$M85),IF($L85&lt;&gt;"",$L85,IF(IFERROR(INDEX('Référentiel'!$D$2:$D$83,MATCH($C85,'Référentiel'!$A$2:$A$83,0)),0)&gt;0,IFERROR(INDEX('Référentiel'!$D$2:$D$83,MATCH($C85,'Référentiel'!$A$2:$A$83,0)),0),"")))="","",IF(AND(IFERROR(INDEX('Référentiel'!$F$2:$F$83,MATCH($C85,'Référentiel'!$A$2:$A$83,0)),0)&gt;0,N($J85)&gt;0),MIN(IF($M85&lt;&gt;"",IF($L85&lt;&gt;"",MIN($L85,$M85),$M85),IF($L85&lt;&gt;"",$L85,IF(IFERROR(INDEX('Référentiel'!$D$2:$D$83,MATCH($C85,'Référentiel'!$A$2:$A$83,0)),0)&gt;0,IFERROR(INDEX('Référentiel'!$D$2:$D$83,MATCH($C85,'Référentiel'!$A$2:$A$83,0)),0),""))),IFERROR(INDEX('Référentiel'!$F$2:$F$83,MATCH($C85,'Référentiel'!$A$2:$A$83,0)),0)),IF($M85&lt;&gt;"",IF($L85&lt;&gt;"",MIN($L85,$M85),$M85),IF($L85&lt;&gt;"",$L85,IF(IFERROR(INDEX('Référentiel'!$D$2:$D$83,MATCH($C85,'Référentiel'!$A$2:$A$83,0)),0)&gt;0,IFERROR(INDEX('Référentiel'!$D$2:$D$83,MATCH($C85,'Référentiel'!$A$2:$A$83,0)),0),""))))))</f>
      </c>
      <c r="O85" s="9"/>
      <c r="P85" s="23"/>
      <c r="Q85" s="9"/>
      <c r="R85" s="24"/>
      <c r="S85" s="23"/>
      <c r="T85" s="23"/>
      <c r="U85" s="24"/>
      <c r="V85" s="20">
        <f>IF($C85="","",IFERROR(INDEX('Référentiel'!$K$2:$K$83,MATCH($C85,'Référentiel'!$A$2:$A$83,0)),""))</f>
      </c>
      <c r="W85" s="20">
        <f>IF(AND(ISNUMBER($G85),$I85&lt;&gt;"Hors service",$I85&lt;&gt;"Location terminée"),$G85+ROW()/100000,"")</f>
      </c>
      <c r="X85" s="9"/>
    </row>
    <row r="86" spans="1:24" x14ac:dyDescent="0.25">
      <c r="A86" s="9"/>
      <c r="B86" s="9"/>
      <c r="C86" s="9"/>
      <c r="D86" s="9"/>
      <c r="E86" s="19">
        <f>IF($A86="","",IF(SUMPRODUCT(MAX((Vérifications!$B$2:$B$1001=$A86)*Vérifications!$L$2:$L$1001))=0,"",SUMPRODUCT(MAX((Vérifications!$B$2:$B$1001=$A86)*Vérifications!$L$2:$L$1001))))</f>
      </c>
      <c r="F86" s="20">
        <f>IF($E86="","",IFERROR(INDEX(Vérifications!$E$2:$E$1001,MATCH($A86&amp;"|"&amp;$E86,Vérifications!$M$2:$M$1001,0)),""))</f>
      </c>
      <c r="G86" s="19">
        <f>IF($N86="","",IF(ISNUMBER($E86),EDATE($E86,$N86),IF(AND(ISNUMBER($U86),IFERROR(INDEX('Référentiel'!$E$2:$E$83,MATCH($C86,'Référentiel'!$A$2:$A$83,0)),0)&gt;0),EDATE($U86,IFERROR(INDEX('Référentiel'!$E$2:$E$83,MATCH($C86,'Référentiel'!$A$2:$A$83,0)),0)),"")))</f>
      </c>
      <c r="H86" s="21">
        <f>IF(ISNUMBER($G86),$G86-TODAY(),"")</f>
      </c>
      <c r="I86" s="20">
        <f>IF(AND($A86="",$C86=""),"",IF($T86="Non","Hors service",IF(AND($Q86="Location",ISNUMBER($R86),$R86&lt;TODAY()),"Location terminée",IF(OR($F86="Mise à l'arrêt",IF($A86="",0,SUMPRODUCT((Réserves!$B$2:$B$301=$A86)*(Réserves!$E$2:$E$301="Mise à l'arrêt")*(Réserves!$J$2:$J$301&lt;&gt;"Levée")*(Réserves!$J$2:$J$301&lt;&gt;"")))&gt;0),"Arrêt : réserve à lever",IF($C86="","Type à choisir",IF($N86="","Périodicité à saisir",IF(OR(ISTEXT($U86),ISTEXT($R86)),"Date à corriger",IF(AND($E86="",$Q86="Location",$S86&lt;&gt;"Oui"),"Rapport loueur à obtenir",IF(NOT(ISNUMBER($G86)),"Vérif. initiale à tracer",IF($H86&lt;0,"En retard",IF(AND($Q86="Location",$S86&lt;&gt;"Oui"),"Rapport loueur à obtenir",IF($H86&lt;='Tableau de bord'!$C$4,"À planifier","À jour"))))))))))))</f>
      </c>
      <c r="J86" s="22">
        <f>IF($A86="","",COUNTIFS(Réserves!$B$2:$B$301,$A86,Réserves!$J$2:$J$301,"Ouverte")+COUNTIFS(Réserves!$B$2:$B$301,$A86,Réserves!$J$2:$J$301,"En retard"))</f>
      </c>
      <c r="K86" s="20">
        <f>IF($C86="","",IFERROR(INDEX('Référentiel'!$B$2:$B$83,MATCH($C86,'Référentiel'!$A$2:$A$83,0)),"Type hors liste"))</f>
      </c>
      <c r="L86" s="22">
        <f>IF($C86="","",IF(IFERROR(INDEX('Référentiel'!$C$2:$C$83,MATCH($C86,'Référentiel'!$A$2:$A$83,0)),0)=0,"",IFERROR(INDEX('Référentiel'!$C$2:$C$83,MATCH($C86,'Référentiel'!$A$2:$A$83,0)),0)))</f>
      </c>
      <c r="M86" s="23"/>
      <c r="N86" s="22">
        <f>IF($C86="","",IF(IF($M86&lt;&gt;"",IF($L86&lt;&gt;"",MIN($L86,$M86),$M86),IF($L86&lt;&gt;"",$L86,IF(IFERROR(INDEX('Référentiel'!$D$2:$D$83,MATCH($C86,'Référentiel'!$A$2:$A$83,0)),0)&gt;0,IFERROR(INDEX('Référentiel'!$D$2:$D$83,MATCH($C86,'Référentiel'!$A$2:$A$83,0)),0),"")))="","",IF(AND(IFERROR(INDEX('Référentiel'!$F$2:$F$83,MATCH($C86,'Référentiel'!$A$2:$A$83,0)),0)&gt;0,N($J86)&gt;0),MIN(IF($M86&lt;&gt;"",IF($L86&lt;&gt;"",MIN($L86,$M86),$M86),IF($L86&lt;&gt;"",$L86,IF(IFERROR(INDEX('Référentiel'!$D$2:$D$83,MATCH($C86,'Référentiel'!$A$2:$A$83,0)),0)&gt;0,IFERROR(INDEX('Référentiel'!$D$2:$D$83,MATCH($C86,'Référentiel'!$A$2:$A$83,0)),0),""))),IFERROR(INDEX('Référentiel'!$F$2:$F$83,MATCH($C86,'Référentiel'!$A$2:$A$83,0)),0)),IF($M86&lt;&gt;"",IF($L86&lt;&gt;"",MIN($L86,$M86),$M86),IF($L86&lt;&gt;"",$L86,IF(IFERROR(INDEX('Référentiel'!$D$2:$D$83,MATCH($C86,'Référentiel'!$A$2:$A$83,0)),0)&gt;0,IFERROR(INDEX('Référentiel'!$D$2:$D$83,MATCH($C86,'Référentiel'!$A$2:$A$83,0)),0),""))))))</f>
      </c>
      <c r="O86" s="9"/>
      <c r="P86" s="23"/>
      <c r="Q86" s="9"/>
      <c r="R86" s="24"/>
      <c r="S86" s="23"/>
      <c r="T86" s="23"/>
      <c r="U86" s="24"/>
      <c r="V86" s="20">
        <f>IF($C86="","",IFERROR(INDEX('Référentiel'!$K$2:$K$83,MATCH($C86,'Référentiel'!$A$2:$A$83,0)),""))</f>
      </c>
      <c r="W86" s="20">
        <f>IF(AND(ISNUMBER($G86),$I86&lt;&gt;"Hors service",$I86&lt;&gt;"Location terminée"),$G86+ROW()/100000,"")</f>
      </c>
      <c r="X86" s="9"/>
    </row>
    <row r="87" spans="1:24" x14ac:dyDescent="0.25">
      <c r="A87" s="9"/>
      <c r="B87" s="9"/>
      <c r="C87" s="9"/>
      <c r="D87" s="9"/>
      <c r="E87" s="19">
        <f>IF($A87="","",IF(SUMPRODUCT(MAX((Vérifications!$B$2:$B$1001=$A87)*Vérifications!$L$2:$L$1001))=0,"",SUMPRODUCT(MAX((Vérifications!$B$2:$B$1001=$A87)*Vérifications!$L$2:$L$1001))))</f>
      </c>
      <c r="F87" s="20">
        <f>IF($E87="","",IFERROR(INDEX(Vérifications!$E$2:$E$1001,MATCH($A87&amp;"|"&amp;$E87,Vérifications!$M$2:$M$1001,0)),""))</f>
      </c>
      <c r="G87" s="19">
        <f>IF($N87="","",IF(ISNUMBER($E87),EDATE($E87,$N87),IF(AND(ISNUMBER($U87),IFERROR(INDEX('Référentiel'!$E$2:$E$83,MATCH($C87,'Référentiel'!$A$2:$A$83,0)),0)&gt;0),EDATE($U87,IFERROR(INDEX('Référentiel'!$E$2:$E$83,MATCH($C87,'Référentiel'!$A$2:$A$83,0)),0)),"")))</f>
      </c>
      <c r="H87" s="21">
        <f>IF(ISNUMBER($G87),$G87-TODAY(),"")</f>
      </c>
      <c r="I87" s="20">
        <f>IF(AND($A87="",$C87=""),"",IF($T87="Non","Hors service",IF(AND($Q87="Location",ISNUMBER($R87),$R87&lt;TODAY()),"Location terminée",IF(OR($F87="Mise à l'arrêt",IF($A87="",0,SUMPRODUCT((Réserves!$B$2:$B$301=$A87)*(Réserves!$E$2:$E$301="Mise à l'arrêt")*(Réserves!$J$2:$J$301&lt;&gt;"Levée")*(Réserves!$J$2:$J$301&lt;&gt;"")))&gt;0),"Arrêt : réserve à lever",IF($C87="","Type à choisir",IF($N87="","Périodicité à saisir",IF(OR(ISTEXT($U87),ISTEXT($R87)),"Date à corriger",IF(AND($E87="",$Q87="Location",$S87&lt;&gt;"Oui"),"Rapport loueur à obtenir",IF(NOT(ISNUMBER($G87)),"Vérif. initiale à tracer",IF($H87&lt;0,"En retard",IF(AND($Q87="Location",$S87&lt;&gt;"Oui"),"Rapport loueur à obtenir",IF($H87&lt;='Tableau de bord'!$C$4,"À planifier","À jour"))))))))))))</f>
      </c>
      <c r="J87" s="22">
        <f>IF($A87="","",COUNTIFS(Réserves!$B$2:$B$301,$A87,Réserves!$J$2:$J$301,"Ouverte")+COUNTIFS(Réserves!$B$2:$B$301,$A87,Réserves!$J$2:$J$301,"En retard"))</f>
      </c>
      <c r="K87" s="20">
        <f>IF($C87="","",IFERROR(INDEX('Référentiel'!$B$2:$B$83,MATCH($C87,'Référentiel'!$A$2:$A$83,0)),"Type hors liste"))</f>
      </c>
      <c r="L87" s="22">
        <f>IF($C87="","",IF(IFERROR(INDEX('Référentiel'!$C$2:$C$83,MATCH($C87,'Référentiel'!$A$2:$A$83,0)),0)=0,"",IFERROR(INDEX('Référentiel'!$C$2:$C$83,MATCH($C87,'Référentiel'!$A$2:$A$83,0)),0)))</f>
      </c>
      <c r="M87" s="23"/>
      <c r="N87" s="22">
        <f>IF($C87="","",IF(IF($M87&lt;&gt;"",IF($L87&lt;&gt;"",MIN($L87,$M87),$M87),IF($L87&lt;&gt;"",$L87,IF(IFERROR(INDEX('Référentiel'!$D$2:$D$83,MATCH($C87,'Référentiel'!$A$2:$A$83,0)),0)&gt;0,IFERROR(INDEX('Référentiel'!$D$2:$D$83,MATCH($C87,'Référentiel'!$A$2:$A$83,0)),0),"")))="","",IF(AND(IFERROR(INDEX('Référentiel'!$F$2:$F$83,MATCH($C87,'Référentiel'!$A$2:$A$83,0)),0)&gt;0,N($J87)&gt;0),MIN(IF($M87&lt;&gt;"",IF($L87&lt;&gt;"",MIN($L87,$M87),$M87),IF($L87&lt;&gt;"",$L87,IF(IFERROR(INDEX('Référentiel'!$D$2:$D$83,MATCH($C87,'Référentiel'!$A$2:$A$83,0)),0)&gt;0,IFERROR(INDEX('Référentiel'!$D$2:$D$83,MATCH($C87,'Référentiel'!$A$2:$A$83,0)),0),""))),IFERROR(INDEX('Référentiel'!$F$2:$F$83,MATCH($C87,'Référentiel'!$A$2:$A$83,0)),0)),IF($M87&lt;&gt;"",IF($L87&lt;&gt;"",MIN($L87,$M87),$M87),IF($L87&lt;&gt;"",$L87,IF(IFERROR(INDEX('Référentiel'!$D$2:$D$83,MATCH($C87,'Référentiel'!$A$2:$A$83,0)),0)&gt;0,IFERROR(INDEX('Référentiel'!$D$2:$D$83,MATCH($C87,'Référentiel'!$A$2:$A$83,0)),0),""))))))</f>
      </c>
      <c r="O87" s="9"/>
      <c r="P87" s="23"/>
      <c r="Q87" s="9"/>
      <c r="R87" s="24"/>
      <c r="S87" s="23"/>
      <c r="T87" s="23"/>
      <c r="U87" s="24"/>
      <c r="V87" s="20">
        <f>IF($C87="","",IFERROR(INDEX('Référentiel'!$K$2:$K$83,MATCH($C87,'Référentiel'!$A$2:$A$83,0)),""))</f>
      </c>
      <c r="W87" s="20">
        <f>IF(AND(ISNUMBER($G87),$I87&lt;&gt;"Hors service",$I87&lt;&gt;"Location terminée"),$G87+ROW()/100000,"")</f>
      </c>
      <c r="X87" s="9"/>
    </row>
    <row r="88" spans="1:24" x14ac:dyDescent="0.25">
      <c r="A88" s="9"/>
      <c r="B88" s="9"/>
      <c r="C88" s="9"/>
      <c r="D88" s="9"/>
      <c r="E88" s="19">
        <f>IF($A88="","",IF(SUMPRODUCT(MAX((Vérifications!$B$2:$B$1001=$A88)*Vérifications!$L$2:$L$1001))=0,"",SUMPRODUCT(MAX((Vérifications!$B$2:$B$1001=$A88)*Vérifications!$L$2:$L$1001))))</f>
      </c>
      <c r="F88" s="20">
        <f>IF($E88="","",IFERROR(INDEX(Vérifications!$E$2:$E$1001,MATCH($A88&amp;"|"&amp;$E88,Vérifications!$M$2:$M$1001,0)),""))</f>
      </c>
      <c r="G88" s="19">
        <f>IF($N88="","",IF(ISNUMBER($E88),EDATE($E88,$N88),IF(AND(ISNUMBER($U88),IFERROR(INDEX('Référentiel'!$E$2:$E$83,MATCH($C88,'Référentiel'!$A$2:$A$83,0)),0)&gt;0),EDATE($U88,IFERROR(INDEX('Référentiel'!$E$2:$E$83,MATCH($C88,'Référentiel'!$A$2:$A$83,0)),0)),"")))</f>
      </c>
      <c r="H88" s="21">
        <f>IF(ISNUMBER($G88),$G88-TODAY(),"")</f>
      </c>
      <c r="I88" s="20">
        <f>IF(AND($A88="",$C88=""),"",IF($T88="Non","Hors service",IF(AND($Q88="Location",ISNUMBER($R88),$R88&lt;TODAY()),"Location terminée",IF(OR($F88="Mise à l'arrêt",IF($A88="",0,SUMPRODUCT((Réserves!$B$2:$B$301=$A88)*(Réserves!$E$2:$E$301="Mise à l'arrêt")*(Réserves!$J$2:$J$301&lt;&gt;"Levée")*(Réserves!$J$2:$J$301&lt;&gt;"")))&gt;0),"Arrêt : réserve à lever",IF($C88="","Type à choisir",IF($N88="","Périodicité à saisir",IF(OR(ISTEXT($U88),ISTEXT($R88)),"Date à corriger",IF(AND($E88="",$Q88="Location",$S88&lt;&gt;"Oui"),"Rapport loueur à obtenir",IF(NOT(ISNUMBER($G88)),"Vérif. initiale à tracer",IF($H88&lt;0,"En retard",IF(AND($Q88="Location",$S88&lt;&gt;"Oui"),"Rapport loueur à obtenir",IF($H88&lt;='Tableau de bord'!$C$4,"À planifier","À jour"))))))))))))</f>
      </c>
      <c r="J88" s="22">
        <f>IF($A88="","",COUNTIFS(Réserves!$B$2:$B$301,$A88,Réserves!$J$2:$J$301,"Ouverte")+COUNTIFS(Réserves!$B$2:$B$301,$A88,Réserves!$J$2:$J$301,"En retard"))</f>
      </c>
      <c r="K88" s="20">
        <f>IF($C88="","",IFERROR(INDEX('Référentiel'!$B$2:$B$83,MATCH($C88,'Référentiel'!$A$2:$A$83,0)),"Type hors liste"))</f>
      </c>
      <c r="L88" s="22">
        <f>IF($C88="","",IF(IFERROR(INDEX('Référentiel'!$C$2:$C$83,MATCH($C88,'Référentiel'!$A$2:$A$83,0)),0)=0,"",IFERROR(INDEX('Référentiel'!$C$2:$C$83,MATCH($C88,'Référentiel'!$A$2:$A$83,0)),0)))</f>
      </c>
      <c r="M88" s="23"/>
      <c r="N88" s="22">
        <f>IF($C88="","",IF(IF($M88&lt;&gt;"",IF($L88&lt;&gt;"",MIN($L88,$M88),$M88),IF($L88&lt;&gt;"",$L88,IF(IFERROR(INDEX('Référentiel'!$D$2:$D$83,MATCH($C88,'Référentiel'!$A$2:$A$83,0)),0)&gt;0,IFERROR(INDEX('Référentiel'!$D$2:$D$83,MATCH($C88,'Référentiel'!$A$2:$A$83,0)),0),"")))="","",IF(AND(IFERROR(INDEX('Référentiel'!$F$2:$F$83,MATCH($C88,'Référentiel'!$A$2:$A$83,0)),0)&gt;0,N($J88)&gt;0),MIN(IF($M88&lt;&gt;"",IF($L88&lt;&gt;"",MIN($L88,$M88),$M88),IF($L88&lt;&gt;"",$L88,IF(IFERROR(INDEX('Référentiel'!$D$2:$D$83,MATCH($C88,'Référentiel'!$A$2:$A$83,0)),0)&gt;0,IFERROR(INDEX('Référentiel'!$D$2:$D$83,MATCH($C88,'Référentiel'!$A$2:$A$83,0)),0),""))),IFERROR(INDEX('Référentiel'!$F$2:$F$83,MATCH($C88,'Référentiel'!$A$2:$A$83,0)),0)),IF($M88&lt;&gt;"",IF($L88&lt;&gt;"",MIN($L88,$M88),$M88),IF($L88&lt;&gt;"",$L88,IF(IFERROR(INDEX('Référentiel'!$D$2:$D$83,MATCH($C88,'Référentiel'!$A$2:$A$83,0)),0)&gt;0,IFERROR(INDEX('Référentiel'!$D$2:$D$83,MATCH($C88,'Référentiel'!$A$2:$A$83,0)),0),""))))))</f>
      </c>
      <c r="O88" s="9"/>
      <c r="P88" s="23"/>
      <c r="Q88" s="9"/>
      <c r="R88" s="24"/>
      <c r="S88" s="23"/>
      <c r="T88" s="23"/>
      <c r="U88" s="24"/>
      <c r="V88" s="20">
        <f>IF($C88="","",IFERROR(INDEX('Référentiel'!$K$2:$K$83,MATCH($C88,'Référentiel'!$A$2:$A$83,0)),""))</f>
      </c>
      <c r="W88" s="20">
        <f>IF(AND(ISNUMBER($G88),$I88&lt;&gt;"Hors service",$I88&lt;&gt;"Location terminée"),$G88+ROW()/100000,"")</f>
      </c>
      <c r="X88" s="9"/>
    </row>
    <row r="89" spans="1:24" x14ac:dyDescent="0.25">
      <c r="A89" s="9"/>
      <c r="B89" s="9"/>
      <c r="C89" s="9"/>
      <c r="D89" s="9"/>
      <c r="E89" s="19">
        <f>IF($A89="","",IF(SUMPRODUCT(MAX((Vérifications!$B$2:$B$1001=$A89)*Vérifications!$L$2:$L$1001))=0,"",SUMPRODUCT(MAX((Vérifications!$B$2:$B$1001=$A89)*Vérifications!$L$2:$L$1001))))</f>
      </c>
      <c r="F89" s="20">
        <f>IF($E89="","",IFERROR(INDEX(Vérifications!$E$2:$E$1001,MATCH($A89&amp;"|"&amp;$E89,Vérifications!$M$2:$M$1001,0)),""))</f>
      </c>
      <c r="G89" s="19">
        <f>IF($N89="","",IF(ISNUMBER($E89),EDATE($E89,$N89),IF(AND(ISNUMBER($U89),IFERROR(INDEX('Référentiel'!$E$2:$E$83,MATCH($C89,'Référentiel'!$A$2:$A$83,0)),0)&gt;0),EDATE($U89,IFERROR(INDEX('Référentiel'!$E$2:$E$83,MATCH($C89,'Référentiel'!$A$2:$A$83,0)),0)),"")))</f>
      </c>
      <c r="H89" s="21">
        <f>IF(ISNUMBER($G89),$G89-TODAY(),"")</f>
      </c>
      <c r="I89" s="20">
        <f>IF(AND($A89="",$C89=""),"",IF($T89="Non","Hors service",IF(AND($Q89="Location",ISNUMBER($R89),$R89&lt;TODAY()),"Location terminée",IF(OR($F89="Mise à l'arrêt",IF($A89="",0,SUMPRODUCT((Réserves!$B$2:$B$301=$A89)*(Réserves!$E$2:$E$301="Mise à l'arrêt")*(Réserves!$J$2:$J$301&lt;&gt;"Levée")*(Réserves!$J$2:$J$301&lt;&gt;"")))&gt;0),"Arrêt : réserve à lever",IF($C89="","Type à choisir",IF($N89="","Périodicité à saisir",IF(OR(ISTEXT($U89),ISTEXT($R89)),"Date à corriger",IF(AND($E89="",$Q89="Location",$S89&lt;&gt;"Oui"),"Rapport loueur à obtenir",IF(NOT(ISNUMBER($G89)),"Vérif. initiale à tracer",IF($H89&lt;0,"En retard",IF(AND($Q89="Location",$S89&lt;&gt;"Oui"),"Rapport loueur à obtenir",IF($H89&lt;='Tableau de bord'!$C$4,"À planifier","À jour"))))))))))))</f>
      </c>
      <c r="J89" s="22">
        <f>IF($A89="","",COUNTIFS(Réserves!$B$2:$B$301,$A89,Réserves!$J$2:$J$301,"Ouverte")+COUNTIFS(Réserves!$B$2:$B$301,$A89,Réserves!$J$2:$J$301,"En retard"))</f>
      </c>
      <c r="K89" s="20">
        <f>IF($C89="","",IFERROR(INDEX('Référentiel'!$B$2:$B$83,MATCH($C89,'Référentiel'!$A$2:$A$83,0)),"Type hors liste"))</f>
      </c>
      <c r="L89" s="22">
        <f>IF($C89="","",IF(IFERROR(INDEX('Référentiel'!$C$2:$C$83,MATCH($C89,'Référentiel'!$A$2:$A$83,0)),0)=0,"",IFERROR(INDEX('Référentiel'!$C$2:$C$83,MATCH($C89,'Référentiel'!$A$2:$A$83,0)),0)))</f>
      </c>
      <c r="M89" s="23"/>
      <c r="N89" s="22">
        <f>IF($C89="","",IF(IF($M89&lt;&gt;"",IF($L89&lt;&gt;"",MIN($L89,$M89),$M89),IF($L89&lt;&gt;"",$L89,IF(IFERROR(INDEX('Référentiel'!$D$2:$D$83,MATCH($C89,'Référentiel'!$A$2:$A$83,0)),0)&gt;0,IFERROR(INDEX('Référentiel'!$D$2:$D$83,MATCH($C89,'Référentiel'!$A$2:$A$83,0)),0),"")))="","",IF(AND(IFERROR(INDEX('Référentiel'!$F$2:$F$83,MATCH($C89,'Référentiel'!$A$2:$A$83,0)),0)&gt;0,N($J89)&gt;0),MIN(IF($M89&lt;&gt;"",IF($L89&lt;&gt;"",MIN($L89,$M89),$M89),IF($L89&lt;&gt;"",$L89,IF(IFERROR(INDEX('Référentiel'!$D$2:$D$83,MATCH($C89,'Référentiel'!$A$2:$A$83,0)),0)&gt;0,IFERROR(INDEX('Référentiel'!$D$2:$D$83,MATCH($C89,'Référentiel'!$A$2:$A$83,0)),0),""))),IFERROR(INDEX('Référentiel'!$F$2:$F$83,MATCH($C89,'Référentiel'!$A$2:$A$83,0)),0)),IF($M89&lt;&gt;"",IF($L89&lt;&gt;"",MIN($L89,$M89),$M89),IF($L89&lt;&gt;"",$L89,IF(IFERROR(INDEX('Référentiel'!$D$2:$D$83,MATCH($C89,'Référentiel'!$A$2:$A$83,0)),0)&gt;0,IFERROR(INDEX('Référentiel'!$D$2:$D$83,MATCH($C89,'Référentiel'!$A$2:$A$83,0)),0),""))))))</f>
      </c>
      <c r="O89" s="9"/>
      <c r="P89" s="23"/>
      <c r="Q89" s="9"/>
      <c r="R89" s="24"/>
      <c r="S89" s="23"/>
      <c r="T89" s="23"/>
      <c r="U89" s="24"/>
      <c r="V89" s="20">
        <f>IF($C89="","",IFERROR(INDEX('Référentiel'!$K$2:$K$83,MATCH($C89,'Référentiel'!$A$2:$A$83,0)),""))</f>
      </c>
      <c r="W89" s="20">
        <f>IF(AND(ISNUMBER($G89),$I89&lt;&gt;"Hors service",$I89&lt;&gt;"Location terminée"),$G89+ROW()/100000,"")</f>
      </c>
      <c r="X89" s="9"/>
    </row>
    <row r="90" spans="1:24" x14ac:dyDescent="0.25">
      <c r="A90" s="9"/>
      <c r="B90" s="9"/>
      <c r="C90" s="9"/>
      <c r="D90" s="9"/>
      <c r="E90" s="19">
        <f>IF($A90="","",IF(SUMPRODUCT(MAX((Vérifications!$B$2:$B$1001=$A90)*Vérifications!$L$2:$L$1001))=0,"",SUMPRODUCT(MAX((Vérifications!$B$2:$B$1001=$A90)*Vérifications!$L$2:$L$1001))))</f>
      </c>
      <c r="F90" s="20">
        <f>IF($E90="","",IFERROR(INDEX(Vérifications!$E$2:$E$1001,MATCH($A90&amp;"|"&amp;$E90,Vérifications!$M$2:$M$1001,0)),""))</f>
      </c>
      <c r="G90" s="19">
        <f>IF($N90="","",IF(ISNUMBER($E90),EDATE($E90,$N90),IF(AND(ISNUMBER($U90),IFERROR(INDEX('Référentiel'!$E$2:$E$83,MATCH($C90,'Référentiel'!$A$2:$A$83,0)),0)&gt;0),EDATE($U90,IFERROR(INDEX('Référentiel'!$E$2:$E$83,MATCH($C90,'Référentiel'!$A$2:$A$83,0)),0)),"")))</f>
      </c>
      <c r="H90" s="21">
        <f>IF(ISNUMBER($G90),$G90-TODAY(),"")</f>
      </c>
      <c r="I90" s="20">
        <f>IF(AND($A90="",$C90=""),"",IF($T90="Non","Hors service",IF(AND($Q90="Location",ISNUMBER($R90),$R90&lt;TODAY()),"Location terminée",IF(OR($F90="Mise à l'arrêt",IF($A90="",0,SUMPRODUCT((Réserves!$B$2:$B$301=$A90)*(Réserves!$E$2:$E$301="Mise à l'arrêt")*(Réserves!$J$2:$J$301&lt;&gt;"Levée")*(Réserves!$J$2:$J$301&lt;&gt;"")))&gt;0),"Arrêt : réserve à lever",IF($C90="","Type à choisir",IF($N90="","Périodicité à saisir",IF(OR(ISTEXT($U90),ISTEXT($R90)),"Date à corriger",IF(AND($E90="",$Q90="Location",$S90&lt;&gt;"Oui"),"Rapport loueur à obtenir",IF(NOT(ISNUMBER($G90)),"Vérif. initiale à tracer",IF($H90&lt;0,"En retard",IF(AND($Q90="Location",$S90&lt;&gt;"Oui"),"Rapport loueur à obtenir",IF($H90&lt;='Tableau de bord'!$C$4,"À planifier","À jour"))))))))))))</f>
      </c>
      <c r="J90" s="22">
        <f>IF($A90="","",COUNTIFS(Réserves!$B$2:$B$301,$A90,Réserves!$J$2:$J$301,"Ouverte")+COUNTIFS(Réserves!$B$2:$B$301,$A90,Réserves!$J$2:$J$301,"En retard"))</f>
      </c>
      <c r="K90" s="20">
        <f>IF($C90="","",IFERROR(INDEX('Référentiel'!$B$2:$B$83,MATCH($C90,'Référentiel'!$A$2:$A$83,0)),"Type hors liste"))</f>
      </c>
      <c r="L90" s="22">
        <f>IF($C90="","",IF(IFERROR(INDEX('Référentiel'!$C$2:$C$83,MATCH($C90,'Référentiel'!$A$2:$A$83,0)),0)=0,"",IFERROR(INDEX('Référentiel'!$C$2:$C$83,MATCH($C90,'Référentiel'!$A$2:$A$83,0)),0)))</f>
      </c>
      <c r="M90" s="23"/>
      <c r="N90" s="22">
        <f>IF($C90="","",IF(IF($M90&lt;&gt;"",IF($L90&lt;&gt;"",MIN($L90,$M90),$M90),IF($L90&lt;&gt;"",$L90,IF(IFERROR(INDEX('Référentiel'!$D$2:$D$83,MATCH($C90,'Référentiel'!$A$2:$A$83,0)),0)&gt;0,IFERROR(INDEX('Référentiel'!$D$2:$D$83,MATCH($C90,'Référentiel'!$A$2:$A$83,0)),0),"")))="","",IF(AND(IFERROR(INDEX('Référentiel'!$F$2:$F$83,MATCH($C90,'Référentiel'!$A$2:$A$83,0)),0)&gt;0,N($J90)&gt;0),MIN(IF($M90&lt;&gt;"",IF($L90&lt;&gt;"",MIN($L90,$M90),$M90),IF($L90&lt;&gt;"",$L90,IF(IFERROR(INDEX('Référentiel'!$D$2:$D$83,MATCH($C90,'Référentiel'!$A$2:$A$83,0)),0)&gt;0,IFERROR(INDEX('Référentiel'!$D$2:$D$83,MATCH($C90,'Référentiel'!$A$2:$A$83,0)),0),""))),IFERROR(INDEX('Référentiel'!$F$2:$F$83,MATCH($C90,'Référentiel'!$A$2:$A$83,0)),0)),IF($M90&lt;&gt;"",IF($L90&lt;&gt;"",MIN($L90,$M90),$M90),IF($L90&lt;&gt;"",$L90,IF(IFERROR(INDEX('Référentiel'!$D$2:$D$83,MATCH($C90,'Référentiel'!$A$2:$A$83,0)),0)&gt;0,IFERROR(INDEX('Référentiel'!$D$2:$D$83,MATCH($C90,'Référentiel'!$A$2:$A$83,0)),0),""))))))</f>
      </c>
      <c r="O90" s="9"/>
      <c r="P90" s="23"/>
      <c r="Q90" s="9"/>
      <c r="R90" s="24"/>
      <c r="S90" s="23"/>
      <c r="T90" s="23"/>
      <c r="U90" s="24"/>
      <c r="V90" s="20">
        <f>IF($C90="","",IFERROR(INDEX('Référentiel'!$K$2:$K$83,MATCH($C90,'Référentiel'!$A$2:$A$83,0)),""))</f>
      </c>
      <c r="W90" s="20">
        <f>IF(AND(ISNUMBER($G90),$I90&lt;&gt;"Hors service",$I90&lt;&gt;"Location terminée"),$G90+ROW()/100000,"")</f>
      </c>
      <c r="X90" s="9"/>
    </row>
    <row r="91" spans="1:24" x14ac:dyDescent="0.25">
      <c r="A91" s="9"/>
      <c r="B91" s="9"/>
      <c r="C91" s="9"/>
      <c r="D91" s="9"/>
      <c r="E91" s="19">
        <f>IF($A91="","",IF(SUMPRODUCT(MAX((Vérifications!$B$2:$B$1001=$A91)*Vérifications!$L$2:$L$1001))=0,"",SUMPRODUCT(MAX((Vérifications!$B$2:$B$1001=$A91)*Vérifications!$L$2:$L$1001))))</f>
      </c>
      <c r="F91" s="20">
        <f>IF($E91="","",IFERROR(INDEX(Vérifications!$E$2:$E$1001,MATCH($A91&amp;"|"&amp;$E91,Vérifications!$M$2:$M$1001,0)),""))</f>
      </c>
      <c r="G91" s="19">
        <f>IF($N91="","",IF(ISNUMBER($E91),EDATE($E91,$N91),IF(AND(ISNUMBER($U91),IFERROR(INDEX('Référentiel'!$E$2:$E$83,MATCH($C91,'Référentiel'!$A$2:$A$83,0)),0)&gt;0),EDATE($U91,IFERROR(INDEX('Référentiel'!$E$2:$E$83,MATCH($C91,'Référentiel'!$A$2:$A$83,0)),0)),"")))</f>
      </c>
      <c r="H91" s="21">
        <f>IF(ISNUMBER($G91),$G91-TODAY(),"")</f>
      </c>
      <c r="I91" s="20">
        <f>IF(AND($A91="",$C91=""),"",IF($T91="Non","Hors service",IF(AND($Q91="Location",ISNUMBER($R91),$R91&lt;TODAY()),"Location terminée",IF(OR($F91="Mise à l'arrêt",IF($A91="",0,SUMPRODUCT((Réserves!$B$2:$B$301=$A91)*(Réserves!$E$2:$E$301="Mise à l'arrêt")*(Réserves!$J$2:$J$301&lt;&gt;"Levée")*(Réserves!$J$2:$J$301&lt;&gt;"")))&gt;0),"Arrêt : réserve à lever",IF($C91="","Type à choisir",IF($N91="","Périodicité à saisir",IF(OR(ISTEXT($U91),ISTEXT($R91)),"Date à corriger",IF(AND($E91="",$Q91="Location",$S91&lt;&gt;"Oui"),"Rapport loueur à obtenir",IF(NOT(ISNUMBER($G91)),"Vérif. initiale à tracer",IF($H91&lt;0,"En retard",IF(AND($Q91="Location",$S91&lt;&gt;"Oui"),"Rapport loueur à obtenir",IF($H91&lt;='Tableau de bord'!$C$4,"À planifier","À jour"))))))))))))</f>
      </c>
      <c r="J91" s="22">
        <f>IF($A91="","",COUNTIFS(Réserves!$B$2:$B$301,$A91,Réserves!$J$2:$J$301,"Ouverte")+COUNTIFS(Réserves!$B$2:$B$301,$A91,Réserves!$J$2:$J$301,"En retard"))</f>
      </c>
      <c r="K91" s="20">
        <f>IF($C91="","",IFERROR(INDEX('Référentiel'!$B$2:$B$83,MATCH($C91,'Référentiel'!$A$2:$A$83,0)),"Type hors liste"))</f>
      </c>
      <c r="L91" s="22">
        <f>IF($C91="","",IF(IFERROR(INDEX('Référentiel'!$C$2:$C$83,MATCH($C91,'Référentiel'!$A$2:$A$83,0)),0)=0,"",IFERROR(INDEX('Référentiel'!$C$2:$C$83,MATCH($C91,'Référentiel'!$A$2:$A$83,0)),0)))</f>
      </c>
      <c r="M91" s="23"/>
      <c r="N91" s="22">
        <f>IF($C91="","",IF(IF($M91&lt;&gt;"",IF($L91&lt;&gt;"",MIN($L91,$M91),$M91),IF($L91&lt;&gt;"",$L91,IF(IFERROR(INDEX('Référentiel'!$D$2:$D$83,MATCH($C91,'Référentiel'!$A$2:$A$83,0)),0)&gt;0,IFERROR(INDEX('Référentiel'!$D$2:$D$83,MATCH($C91,'Référentiel'!$A$2:$A$83,0)),0),"")))="","",IF(AND(IFERROR(INDEX('Référentiel'!$F$2:$F$83,MATCH($C91,'Référentiel'!$A$2:$A$83,0)),0)&gt;0,N($J91)&gt;0),MIN(IF($M91&lt;&gt;"",IF($L91&lt;&gt;"",MIN($L91,$M91),$M91),IF($L91&lt;&gt;"",$L91,IF(IFERROR(INDEX('Référentiel'!$D$2:$D$83,MATCH($C91,'Référentiel'!$A$2:$A$83,0)),0)&gt;0,IFERROR(INDEX('Référentiel'!$D$2:$D$83,MATCH($C91,'Référentiel'!$A$2:$A$83,0)),0),""))),IFERROR(INDEX('Référentiel'!$F$2:$F$83,MATCH($C91,'Référentiel'!$A$2:$A$83,0)),0)),IF($M91&lt;&gt;"",IF($L91&lt;&gt;"",MIN($L91,$M91),$M91),IF($L91&lt;&gt;"",$L91,IF(IFERROR(INDEX('Référentiel'!$D$2:$D$83,MATCH($C91,'Référentiel'!$A$2:$A$83,0)),0)&gt;0,IFERROR(INDEX('Référentiel'!$D$2:$D$83,MATCH($C91,'Référentiel'!$A$2:$A$83,0)),0),""))))))</f>
      </c>
      <c r="O91" s="9"/>
      <c r="P91" s="23"/>
      <c r="Q91" s="9"/>
      <c r="R91" s="24"/>
      <c r="S91" s="23"/>
      <c r="T91" s="23"/>
      <c r="U91" s="24"/>
      <c r="V91" s="20">
        <f>IF($C91="","",IFERROR(INDEX('Référentiel'!$K$2:$K$83,MATCH($C91,'Référentiel'!$A$2:$A$83,0)),""))</f>
      </c>
      <c r="W91" s="20">
        <f>IF(AND(ISNUMBER($G91),$I91&lt;&gt;"Hors service",$I91&lt;&gt;"Location terminée"),$G91+ROW()/100000,"")</f>
      </c>
      <c r="X91" s="9"/>
    </row>
    <row r="92" spans="1:24" x14ac:dyDescent="0.25">
      <c r="A92" s="9"/>
      <c r="B92" s="9"/>
      <c r="C92" s="9"/>
      <c r="D92" s="9"/>
      <c r="E92" s="19">
        <f>IF($A92="","",IF(SUMPRODUCT(MAX((Vérifications!$B$2:$B$1001=$A92)*Vérifications!$L$2:$L$1001))=0,"",SUMPRODUCT(MAX((Vérifications!$B$2:$B$1001=$A92)*Vérifications!$L$2:$L$1001))))</f>
      </c>
      <c r="F92" s="20">
        <f>IF($E92="","",IFERROR(INDEX(Vérifications!$E$2:$E$1001,MATCH($A92&amp;"|"&amp;$E92,Vérifications!$M$2:$M$1001,0)),""))</f>
      </c>
      <c r="G92" s="19">
        <f>IF($N92="","",IF(ISNUMBER($E92),EDATE($E92,$N92),IF(AND(ISNUMBER($U92),IFERROR(INDEX('Référentiel'!$E$2:$E$83,MATCH($C92,'Référentiel'!$A$2:$A$83,0)),0)&gt;0),EDATE($U92,IFERROR(INDEX('Référentiel'!$E$2:$E$83,MATCH($C92,'Référentiel'!$A$2:$A$83,0)),0)),"")))</f>
      </c>
      <c r="H92" s="21">
        <f>IF(ISNUMBER($G92),$G92-TODAY(),"")</f>
      </c>
      <c r="I92" s="20">
        <f>IF(AND($A92="",$C92=""),"",IF($T92="Non","Hors service",IF(AND($Q92="Location",ISNUMBER($R92),$R92&lt;TODAY()),"Location terminée",IF(OR($F92="Mise à l'arrêt",IF($A92="",0,SUMPRODUCT((Réserves!$B$2:$B$301=$A92)*(Réserves!$E$2:$E$301="Mise à l'arrêt")*(Réserves!$J$2:$J$301&lt;&gt;"Levée")*(Réserves!$J$2:$J$301&lt;&gt;"")))&gt;0),"Arrêt : réserve à lever",IF($C92="","Type à choisir",IF($N92="","Périodicité à saisir",IF(OR(ISTEXT($U92),ISTEXT($R92)),"Date à corriger",IF(AND($E92="",$Q92="Location",$S92&lt;&gt;"Oui"),"Rapport loueur à obtenir",IF(NOT(ISNUMBER($G92)),"Vérif. initiale à tracer",IF($H92&lt;0,"En retard",IF(AND($Q92="Location",$S92&lt;&gt;"Oui"),"Rapport loueur à obtenir",IF($H92&lt;='Tableau de bord'!$C$4,"À planifier","À jour"))))))))))))</f>
      </c>
      <c r="J92" s="22">
        <f>IF($A92="","",COUNTIFS(Réserves!$B$2:$B$301,$A92,Réserves!$J$2:$J$301,"Ouverte")+COUNTIFS(Réserves!$B$2:$B$301,$A92,Réserves!$J$2:$J$301,"En retard"))</f>
      </c>
      <c r="K92" s="20">
        <f>IF($C92="","",IFERROR(INDEX('Référentiel'!$B$2:$B$83,MATCH($C92,'Référentiel'!$A$2:$A$83,0)),"Type hors liste"))</f>
      </c>
      <c r="L92" s="22">
        <f>IF($C92="","",IF(IFERROR(INDEX('Référentiel'!$C$2:$C$83,MATCH($C92,'Référentiel'!$A$2:$A$83,0)),0)=0,"",IFERROR(INDEX('Référentiel'!$C$2:$C$83,MATCH($C92,'Référentiel'!$A$2:$A$83,0)),0)))</f>
      </c>
      <c r="M92" s="23"/>
      <c r="N92" s="22">
        <f>IF($C92="","",IF(IF($M92&lt;&gt;"",IF($L92&lt;&gt;"",MIN($L92,$M92),$M92),IF($L92&lt;&gt;"",$L92,IF(IFERROR(INDEX('Référentiel'!$D$2:$D$83,MATCH($C92,'Référentiel'!$A$2:$A$83,0)),0)&gt;0,IFERROR(INDEX('Référentiel'!$D$2:$D$83,MATCH($C92,'Référentiel'!$A$2:$A$83,0)),0),"")))="","",IF(AND(IFERROR(INDEX('Référentiel'!$F$2:$F$83,MATCH($C92,'Référentiel'!$A$2:$A$83,0)),0)&gt;0,N($J92)&gt;0),MIN(IF($M92&lt;&gt;"",IF($L92&lt;&gt;"",MIN($L92,$M92),$M92),IF($L92&lt;&gt;"",$L92,IF(IFERROR(INDEX('Référentiel'!$D$2:$D$83,MATCH($C92,'Référentiel'!$A$2:$A$83,0)),0)&gt;0,IFERROR(INDEX('Référentiel'!$D$2:$D$83,MATCH($C92,'Référentiel'!$A$2:$A$83,0)),0),""))),IFERROR(INDEX('Référentiel'!$F$2:$F$83,MATCH($C92,'Référentiel'!$A$2:$A$83,0)),0)),IF($M92&lt;&gt;"",IF($L92&lt;&gt;"",MIN($L92,$M92),$M92),IF($L92&lt;&gt;"",$L92,IF(IFERROR(INDEX('Référentiel'!$D$2:$D$83,MATCH($C92,'Référentiel'!$A$2:$A$83,0)),0)&gt;0,IFERROR(INDEX('Référentiel'!$D$2:$D$83,MATCH($C92,'Référentiel'!$A$2:$A$83,0)),0),""))))))</f>
      </c>
      <c r="O92" s="9"/>
      <c r="P92" s="23"/>
      <c r="Q92" s="9"/>
      <c r="R92" s="24"/>
      <c r="S92" s="23"/>
      <c r="T92" s="23"/>
      <c r="U92" s="24"/>
      <c r="V92" s="20">
        <f>IF($C92="","",IFERROR(INDEX('Référentiel'!$K$2:$K$83,MATCH($C92,'Référentiel'!$A$2:$A$83,0)),""))</f>
      </c>
      <c r="W92" s="20">
        <f>IF(AND(ISNUMBER($G92),$I92&lt;&gt;"Hors service",$I92&lt;&gt;"Location terminée"),$G92+ROW()/100000,"")</f>
      </c>
      <c r="X92" s="9"/>
    </row>
    <row r="93" spans="1:24" x14ac:dyDescent="0.25">
      <c r="A93" s="9"/>
      <c r="B93" s="9"/>
      <c r="C93" s="9"/>
      <c r="D93" s="9"/>
      <c r="E93" s="19">
        <f>IF($A93="","",IF(SUMPRODUCT(MAX((Vérifications!$B$2:$B$1001=$A93)*Vérifications!$L$2:$L$1001))=0,"",SUMPRODUCT(MAX((Vérifications!$B$2:$B$1001=$A93)*Vérifications!$L$2:$L$1001))))</f>
      </c>
      <c r="F93" s="20">
        <f>IF($E93="","",IFERROR(INDEX(Vérifications!$E$2:$E$1001,MATCH($A93&amp;"|"&amp;$E93,Vérifications!$M$2:$M$1001,0)),""))</f>
      </c>
      <c r="G93" s="19">
        <f>IF($N93="","",IF(ISNUMBER($E93),EDATE($E93,$N93),IF(AND(ISNUMBER($U93),IFERROR(INDEX('Référentiel'!$E$2:$E$83,MATCH($C93,'Référentiel'!$A$2:$A$83,0)),0)&gt;0),EDATE($U93,IFERROR(INDEX('Référentiel'!$E$2:$E$83,MATCH($C93,'Référentiel'!$A$2:$A$83,0)),0)),"")))</f>
      </c>
      <c r="H93" s="21">
        <f>IF(ISNUMBER($G93),$G93-TODAY(),"")</f>
      </c>
      <c r="I93" s="20">
        <f>IF(AND($A93="",$C93=""),"",IF($T93="Non","Hors service",IF(AND($Q93="Location",ISNUMBER($R93),$R93&lt;TODAY()),"Location terminée",IF(OR($F93="Mise à l'arrêt",IF($A93="",0,SUMPRODUCT((Réserves!$B$2:$B$301=$A93)*(Réserves!$E$2:$E$301="Mise à l'arrêt")*(Réserves!$J$2:$J$301&lt;&gt;"Levée")*(Réserves!$J$2:$J$301&lt;&gt;"")))&gt;0),"Arrêt : réserve à lever",IF($C93="","Type à choisir",IF($N93="","Périodicité à saisir",IF(OR(ISTEXT($U93),ISTEXT($R93)),"Date à corriger",IF(AND($E93="",$Q93="Location",$S93&lt;&gt;"Oui"),"Rapport loueur à obtenir",IF(NOT(ISNUMBER($G93)),"Vérif. initiale à tracer",IF($H93&lt;0,"En retard",IF(AND($Q93="Location",$S93&lt;&gt;"Oui"),"Rapport loueur à obtenir",IF($H93&lt;='Tableau de bord'!$C$4,"À planifier","À jour"))))))))))))</f>
      </c>
      <c r="J93" s="22">
        <f>IF($A93="","",COUNTIFS(Réserves!$B$2:$B$301,$A93,Réserves!$J$2:$J$301,"Ouverte")+COUNTIFS(Réserves!$B$2:$B$301,$A93,Réserves!$J$2:$J$301,"En retard"))</f>
      </c>
      <c r="K93" s="20">
        <f>IF($C93="","",IFERROR(INDEX('Référentiel'!$B$2:$B$83,MATCH($C93,'Référentiel'!$A$2:$A$83,0)),"Type hors liste"))</f>
      </c>
      <c r="L93" s="22">
        <f>IF($C93="","",IF(IFERROR(INDEX('Référentiel'!$C$2:$C$83,MATCH($C93,'Référentiel'!$A$2:$A$83,0)),0)=0,"",IFERROR(INDEX('Référentiel'!$C$2:$C$83,MATCH($C93,'Référentiel'!$A$2:$A$83,0)),0)))</f>
      </c>
      <c r="M93" s="23"/>
      <c r="N93" s="22">
        <f>IF($C93="","",IF(IF($M93&lt;&gt;"",IF($L93&lt;&gt;"",MIN($L93,$M93),$M93),IF($L93&lt;&gt;"",$L93,IF(IFERROR(INDEX('Référentiel'!$D$2:$D$83,MATCH($C93,'Référentiel'!$A$2:$A$83,0)),0)&gt;0,IFERROR(INDEX('Référentiel'!$D$2:$D$83,MATCH($C93,'Référentiel'!$A$2:$A$83,0)),0),"")))="","",IF(AND(IFERROR(INDEX('Référentiel'!$F$2:$F$83,MATCH($C93,'Référentiel'!$A$2:$A$83,0)),0)&gt;0,N($J93)&gt;0),MIN(IF($M93&lt;&gt;"",IF($L93&lt;&gt;"",MIN($L93,$M93),$M93),IF($L93&lt;&gt;"",$L93,IF(IFERROR(INDEX('Référentiel'!$D$2:$D$83,MATCH($C93,'Référentiel'!$A$2:$A$83,0)),0)&gt;0,IFERROR(INDEX('Référentiel'!$D$2:$D$83,MATCH($C93,'Référentiel'!$A$2:$A$83,0)),0),""))),IFERROR(INDEX('Référentiel'!$F$2:$F$83,MATCH($C93,'Référentiel'!$A$2:$A$83,0)),0)),IF($M93&lt;&gt;"",IF($L93&lt;&gt;"",MIN($L93,$M93),$M93),IF($L93&lt;&gt;"",$L93,IF(IFERROR(INDEX('Référentiel'!$D$2:$D$83,MATCH($C93,'Référentiel'!$A$2:$A$83,0)),0)&gt;0,IFERROR(INDEX('Référentiel'!$D$2:$D$83,MATCH($C93,'Référentiel'!$A$2:$A$83,0)),0),""))))))</f>
      </c>
      <c r="O93" s="9"/>
      <c r="P93" s="23"/>
      <c r="Q93" s="9"/>
      <c r="R93" s="24"/>
      <c r="S93" s="23"/>
      <c r="T93" s="23"/>
      <c r="U93" s="24"/>
      <c r="V93" s="20">
        <f>IF($C93="","",IFERROR(INDEX('Référentiel'!$K$2:$K$83,MATCH($C93,'Référentiel'!$A$2:$A$83,0)),""))</f>
      </c>
      <c r="W93" s="20">
        <f>IF(AND(ISNUMBER($G93),$I93&lt;&gt;"Hors service",$I93&lt;&gt;"Location terminée"),$G93+ROW()/100000,"")</f>
      </c>
      <c r="X93" s="9"/>
    </row>
    <row r="94" spans="1:24" x14ac:dyDescent="0.25">
      <c r="A94" s="9"/>
      <c r="B94" s="9"/>
      <c r="C94" s="9"/>
      <c r="D94" s="9"/>
      <c r="E94" s="19">
        <f>IF($A94="","",IF(SUMPRODUCT(MAX((Vérifications!$B$2:$B$1001=$A94)*Vérifications!$L$2:$L$1001))=0,"",SUMPRODUCT(MAX((Vérifications!$B$2:$B$1001=$A94)*Vérifications!$L$2:$L$1001))))</f>
      </c>
      <c r="F94" s="20">
        <f>IF($E94="","",IFERROR(INDEX(Vérifications!$E$2:$E$1001,MATCH($A94&amp;"|"&amp;$E94,Vérifications!$M$2:$M$1001,0)),""))</f>
      </c>
      <c r="G94" s="19">
        <f>IF($N94="","",IF(ISNUMBER($E94),EDATE($E94,$N94),IF(AND(ISNUMBER($U94),IFERROR(INDEX('Référentiel'!$E$2:$E$83,MATCH($C94,'Référentiel'!$A$2:$A$83,0)),0)&gt;0),EDATE($U94,IFERROR(INDEX('Référentiel'!$E$2:$E$83,MATCH($C94,'Référentiel'!$A$2:$A$83,0)),0)),"")))</f>
      </c>
      <c r="H94" s="21">
        <f>IF(ISNUMBER($G94),$G94-TODAY(),"")</f>
      </c>
      <c r="I94" s="20">
        <f>IF(AND($A94="",$C94=""),"",IF($T94="Non","Hors service",IF(AND($Q94="Location",ISNUMBER($R94),$R94&lt;TODAY()),"Location terminée",IF(OR($F94="Mise à l'arrêt",IF($A94="",0,SUMPRODUCT((Réserves!$B$2:$B$301=$A94)*(Réserves!$E$2:$E$301="Mise à l'arrêt")*(Réserves!$J$2:$J$301&lt;&gt;"Levée")*(Réserves!$J$2:$J$301&lt;&gt;"")))&gt;0),"Arrêt : réserve à lever",IF($C94="","Type à choisir",IF($N94="","Périodicité à saisir",IF(OR(ISTEXT($U94),ISTEXT($R94)),"Date à corriger",IF(AND($E94="",$Q94="Location",$S94&lt;&gt;"Oui"),"Rapport loueur à obtenir",IF(NOT(ISNUMBER($G94)),"Vérif. initiale à tracer",IF($H94&lt;0,"En retard",IF(AND($Q94="Location",$S94&lt;&gt;"Oui"),"Rapport loueur à obtenir",IF($H94&lt;='Tableau de bord'!$C$4,"À planifier","À jour"))))))))))))</f>
      </c>
      <c r="J94" s="22">
        <f>IF($A94="","",COUNTIFS(Réserves!$B$2:$B$301,$A94,Réserves!$J$2:$J$301,"Ouverte")+COUNTIFS(Réserves!$B$2:$B$301,$A94,Réserves!$J$2:$J$301,"En retard"))</f>
      </c>
      <c r="K94" s="20">
        <f>IF($C94="","",IFERROR(INDEX('Référentiel'!$B$2:$B$83,MATCH($C94,'Référentiel'!$A$2:$A$83,0)),"Type hors liste"))</f>
      </c>
      <c r="L94" s="22">
        <f>IF($C94="","",IF(IFERROR(INDEX('Référentiel'!$C$2:$C$83,MATCH($C94,'Référentiel'!$A$2:$A$83,0)),0)=0,"",IFERROR(INDEX('Référentiel'!$C$2:$C$83,MATCH($C94,'Référentiel'!$A$2:$A$83,0)),0)))</f>
      </c>
      <c r="M94" s="23"/>
      <c r="N94" s="22">
        <f>IF($C94="","",IF(IF($M94&lt;&gt;"",IF($L94&lt;&gt;"",MIN($L94,$M94),$M94),IF($L94&lt;&gt;"",$L94,IF(IFERROR(INDEX('Référentiel'!$D$2:$D$83,MATCH($C94,'Référentiel'!$A$2:$A$83,0)),0)&gt;0,IFERROR(INDEX('Référentiel'!$D$2:$D$83,MATCH($C94,'Référentiel'!$A$2:$A$83,0)),0),"")))="","",IF(AND(IFERROR(INDEX('Référentiel'!$F$2:$F$83,MATCH($C94,'Référentiel'!$A$2:$A$83,0)),0)&gt;0,N($J94)&gt;0),MIN(IF($M94&lt;&gt;"",IF($L94&lt;&gt;"",MIN($L94,$M94),$M94),IF($L94&lt;&gt;"",$L94,IF(IFERROR(INDEX('Référentiel'!$D$2:$D$83,MATCH($C94,'Référentiel'!$A$2:$A$83,0)),0)&gt;0,IFERROR(INDEX('Référentiel'!$D$2:$D$83,MATCH($C94,'Référentiel'!$A$2:$A$83,0)),0),""))),IFERROR(INDEX('Référentiel'!$F$2:$F$83,MATCH($C94,'Référentiel'!$A$2:$A$83,0)),0)),IF($M94&lt;&gt;"",IF($L94&lt;&gt;"",MIN($L94,$M94),$M94),IF($L94&lt;&gt;"",$L94,IF(IFERROR(INDEX('Référentiel'!$D$2:$D$83,MATCH($C94,'Référentiel'!$A$2:$A$83,0)),0)&gt;0,IFERROR(INDEX('Référentiel'!$D$2:$D$83,MATCH($C94,'Référentiel'!$A$2:$A$83,0)),0),""))))))</f>
      </c>
      <c r="O94" s="9"/>
      <c r="P94" s="23"/>
      <c r="Q94" s="9"/>
      <c r="R94" s="24"/>
      <c r="S94" s="23"/>
      <c r="T94" s="23"/>
      <c r="U94" s="24"/>
      <c r="V94" s="20">
        <f>IF($C94="","",IFERROR(INDEX('Référentiel'!$K$2:$K$83,MATCH($C94,'Référentiel'!$A$2:$A$83,0)),""))</f>
      </c>
      <c r="W94" s="20">
        <f>IF(AND(ISNUMBER($G94),$I94&lt;&gt;"Hors service",$I94&lt;&gt;"Location terminée"),$G94+ROW()/100000,"")</f>
      </c>
      <c r="X94" s="9"/>
    </row>
    <row r="95" spans="1:24" x14ac:dyDescent="0.25">
      <c r="A95" s="9"/>
      <c r="B95" s="9"/>
      <c r="C95" s="9"/>
      <c r="D95" s="9"/>
      <c r="E95" s="19">
        <f>IF($A95="","",IF(SUMPRODUCT(MAX((Vérifications!$B$2:$B$1001=$A95)*Vérifications!$L$2:$L$1001))=0,"",SUMPRODUCT(MAX((Vérifications!$B$2:$B$1001=$A95)*Vérifications!$L$2:$L$1001))))</f>
      </c>
      <c r="F95" s="20">
        <f>IF($E95="","",IFERROR(INDEX(Vérifications!$E$2:$E$1001,MATCH($A95&amp;"|"&amp;$E95,Vérifications!$M$2:$M$1001,0)),""))</f>
      </c>
      <c r="G95" s="19">
        <f>IF($N95="","",IF(ISNUMBER($E95),EDATE($E95,$N95),IF(AND(ISNUMBER($U95),IFERROR(INDEX('Référentiel'!$E$2:$E$83,MATCH($C95,'Référentiel'!$A$2:$A$83,0)),0)&gt;0),EDATE($U95,IFERROR(INDEX('Référentiel'!$E$2:$E$83,MATCH($C95,'Référentiel'!$A$2:$A$83,0)),0)),"")))</f>
      </c>
      <c r="H95" s="21">
        <f>IF(ISNUMBER($G95),$G95-TODAY(),"")</f>
      </c>
      <c r="I95" s="20">
        <f>IF(AND($A95="",$C95=""),"",IF($T95="Non","Hors service",IF(AND($Q95="Location",ISNUMBER($R95),$R95&lt;TODAY()),"Location terminée",IF(OR($F95="Mise à l'arrêt",IF($A95="",0,SUMPRODUCT((Réserves!$B$2:$B$301=$A95)*(Réserves!$E$2:$E$301="Mise à l'arrêt")*(Réserves!$J$2:$J$301&lt;&gt;"Levée")*(Réserves!$J$2:$J$301&lt;&gt;"")))&gt;0),"Arrêt : réserve à lever",IF($C95="","Type à choisir",IF($N95="","Périodicité à saisir",IF(OR(ISTEXT($U95),ISTEXT($R95)),"Date à corriger",IF(AND($E95="",$Q95="Location",$S95&lt;&gt;"Oui"),"Rapport loueur à obtenir",IF(NOT(ISNUMBER($G95)),"Vérif. initiale à tracer",IF($H95&lt;0,"En retard",IF(AND($Q95="Location",$S95&lt;&gt;"Oui"),"Rapport loueur à obtenir",IF($H95&lt;='Tableau de bord'!$C$4,"À planifier","À jour"))))))))))))</f>
      </c>
      <c r="J95" s="22">
        <f>IF($A95="","",COUNTIFS(Réserves!$B$2:$B$301,$A95,Réserves!$J$2:$J$301,"Ouverte")+COUNTIFS(Réserves!$B$2:$B$301,$A95,Réserves!$J$2:$J$301,"En retard"))</f>
      </c>
      <c r="K95" s="20">
        <f>IF($C95="","",IFERROR(INDEX('Référentiel'!$B$2:$B$83,MATCH($C95,'Référentiel'!$A$2:$A$83,0)),"Type hors liste"))</f>
      </c>
      <c r="L95" s="22">
        <f>IF($C95="","",IF(IFERROR(INDEX('Référentiel'!$C$2:$C$83,MATCH($C95,'Référentiel'!$A$2:$A$83,0)),0)=0,"",IFERROR(INDEX('Référentiel'!$C$2:$C$83,MATCH($C95,'Référentiel'!$A$2:$A$83,0)),0)))</f>
      </c>
      <c r="M95" s="23"/>
      <c r="N95" s="22">
        <f>IF($C95="","",IF(IF($M95&lt;&gt;"",IF($L95&lt;&gt;"",MIN($L95,$M95),$M95),IF($L95&lt;&gt;"",$L95,IF(IFERROR(INDEX('Référentiel'!$D$2:$D$83,MATCH($C95,'Référentiel'!$A$2:$A$83,0)),0)&gt;0,IFERROR(INDEX('Référentiel'!$D$2:$D$83,MATCH($C95,'Référentiel'!$A$2:$A$83,0)),0),"")))="","",IF(AND(IFERROR(INDEX('Référentiel'!$F$2:$F$83,MATCH($C95,'Référentiel'!$A$2:$A$83,0)),0)&gt;0,N($J95)&gt;0),MIN(IF($M95&lt;&gt;"",IF($L95&lt;&gt;"",MIN($L95,$M95),$M95),IF($L95&lt;&gt;"",$L95,IF(IFERROR(INDEX('Référentiel'!$D$2:$D$83,MATCH($C95,'Référentiel'!$A$2:$A$83,0)),0)&gt;0,IFERROR(INDEX('Référentiel'!$D$2:$D$83,MATCH($C95,'Référentiel'!$A$2:$A$83,0)),0),""))),IFERROR(INDEX('Référentiel'!$F$2:$F$83,MATCH($C95,'Référentiel'!$A$2:$A$83,0)),0)),IF($M95&lt;&gt;"",IF($L95&lt;&gt;"",MIN($L95,$M95),$M95),IF($L95&lt;&gt;"",$L95,IF(IFERROR(INDEX('Référentiel'!$D$2:$D$83,MATCH($C95,'Référentiel'!$A$2:$A$83,0)),0)&gt;0,IFERROR(INDEX('Référentiel'!$D$2:$D$83,MATCH($C95,'Référentiel'!$A$2:$A$83,0)),0),""))))))</f>
      </c>
      <c r="O95" s="9"/>
      <c r="P95" s="23"/>
      <c r="Q95" s="9"/>
      <c r="R95" s="24"/>
      <c r="S95" s="23"/>
      <c r="T95" s="23"/>
      <c r="U95" s="24"/>
      <c r="V95" s="20">
        <f>IF($C95="","",IFERROR(INDEX('Référentiel'!$K$2:$K$83,MATCH($C95,'Référentiel'!$A$2:$A$83,0)),""))</f>
      </c>
      <c r="W95" s="20">
        <f>IF(AND(ISNUMBER($G95),$I95&lt;&gt;"Hors service",$I95&lt;&gt;"Location terminée"),$G95+ROW()/100000,"")</f>
      </c>
      <c r="X95" s="9"/>
    </row>
    <row r="96" spans="1:24" x14ac:dyDescent="0.25">
      <c r="A96" s="9"/>
      <c r="B96" s="9"/>
      <c r="C96" s="9"/>
      <c r="D96" s="9"/>
      <c r="E96" s="19">
        <f>IF($A96="","",IF(SUMPRODUCT(MAX((Vérifications!$B$2:$B$1001=$A96)*Vérifications!$L$2:$L$1001))=0,"",SUMPRODUCT(MAX((Vérifications!$B$2:$B$1001=$A96)*Vérifications!$L$2:$L$1001))))</f>
      </c>
      <c r="F96" s="20">
        <f>IF($E96="","",IFERROR(INDEX(Vérifications!$E$2:$E$1001,MATCH($A96&amp;"|"&amp;$E96,Vérifications!$M$2:$M$1001,0)),""))</f>
      </c>
      <c r="G96" s="19">
        <f>IF($N96="","",IF(ISNUMBER($E96),EDATE($E96,$N96),IF(AND(ISNUMBER($U96),IFERROR(INDEX('Référentiel'!$E$2:$E$83,MATCH($C96,'Référentiel'!$A$2:$A$83,0)),0)&gt;0),EDATE($U96,IFERROR(INDEX('Référentiel'!$E$2:$E$83,MATCH($C96,'Référentiel'!$A$2:$A$83,0)),0)),"")))</f>
      </c>
      <c r="H96" s="21">
        <f>IF(ISNUMBER($G96),$G96-TODAY(),"")</f>
      </c>
      <c r="I96" s="20">
        <f>IF(AND($A96="",$C96=""),"",IF($T96="Non","Hors service",IF(AND($Q96="Location",ISNUMBER($R96),$R96&lt;TODAY()),"Location terminée",IF(OR($F96="Mise à l'arrêt",IF($A96="",0,SUMPRODUCT((Réserves!$B$2:$B$301=$A96)*(Réserves!$E$2:$E$301="Mise à l'arrêt")*(Réserves!$J$2:$J$301&lt;&gt;"Levée")*(Réserves!$J$2:$J$301&lt;&gt;"")))&gt;0),"Arrêt : réserve à lever",IF($C96="","Type à choisir",IF($N96="","Périodicité à saisir",IF(OR(ISTEXT($U96),ISTEXT($R96)),"Date à corriger",IF(AND($E96="",$Q96="Location",$S96&lt;&gt;"Oui"),"Rapport loueur à obtenir",IF(NOT(ISNUMBER($G96)),"Vérif. initiale à tracer",IF($H96&lt;0,"En retard",IF(AND($Q96="Location",$S96&lt;&gt;"Oui"),"Rapport loueur à obtenir",IF($H96&lt;='Tableau de bord'!$C$4,"À planifier","À jour"))))))))))))</f>
      </c>
      <c r="J96" s="22">
        <f>IF($A96="","",COUNTIFS(Réserves!$B$2:$B$301,$A96,Réserves!$J$2:$J$301,"Ouverte")+COUNTIFS(Réserves!$B$2:$B$301,$A96,Réserves!$J$2:$J$301,"En retard"))</f>
      </c>
      <c r="K96" s="20">
        <f>IF($C96="","",IFERROR(INDEX('Référentiel'!$B$2:$B$83,MATCH($C96,'Référentiel'!$A$2:$A$83,0)),"Type hors liste"))</f>
      </c>
      <c r="L96" s="22">
        <f>IF($C96="","",IF(IFERROR(INDEX('Référentiel'!$C$2:$C$83,MATCH($C96,'Référentiel'!$A$2:$A$83,0)),0)=0,"",IFERROR(INDEX('Référentiel'!$C$2:$C$83,MATCH($C96,'Référentiel'!$A$2:$A$83,0)),0)))</f>
      </c>
      <c r="M96" s="23"/>
      <c r="N96" s="22">
        <f>IF($C96="","",IF(IF($M96&lt;&gt;"",IF($L96&lt;&gt;"",MIN($L96,$M96),$M96),IF($L96&lt;&gt;"",$L96,IF(IFERROR(INDEX('Référentiel'!$D$2:$D$83,MATCH($C96,'Référentiel'!$A$2:$A$83,0)),0)&gt;0,IFERROR(INDEX('Référentiel'!$D$2:$D$83,MATCH($C96,'Référentiel'!$A$2:$A$83,0)),0),"")))="","",IF(AND(IFERROR(INDEX('Référentiel'!$F$2:$F$83,MATCH($C96,'Référentiel'!$A$2:$A$83,0)),0)&gt;0,N($J96)&gt;0),MIN(IF($M96&lt;&gt;"",IF($L96&lt;&gt;"",MIN($L96,$M96),$M96),IF($L96&lt;&gt;"",$L96,IF(IFERROR(INDEX('Référentiel'!$D$2:$D$83,MATCH($C96,'Référentiel'!$A$2:$A$83,0)),0)&gt;0,IFERROR(INDEX('Référentiel'!$D$2:$D$83,MATCH($C96,'Référentiel'!$A$2:$A$83,0)),0),""))),IFERROR(INDEX('Référentiel'!$F$2:$F$83,MATCH($C96,'Référentiel'!$A$2:$A$83,0)),0)),IF($M96&lt;&gt;"",IF($L96&lt;&gt;"",MIN($L96,$M96),$M96),IF($L96&lt;&gt;"",$L96,IF(IFERROR(INDEX('Référentiel'!$D$2:$D$83,MATCH($C96,'Référentiel'!$A$2:$A$83,0)),0)&gt;0,IFERROR(INDEX('Référentiel'!$D$2:$D$83,MATCH($C96,'Référentiel'!$A$2:$A$83,0)),0),""))))))</f>
      </c>
      <c r="O96" s="9"/>
      <c r="P96" s="23"/>
      <c r="Q96" s="9"/>
      <c r="R96" s="24"/>
      <c r="S96" s="23"/>
      <c r="T96" s="23"/>
      <c r="U96" s="24"/>
      <c r="V96" s="20">
        <f>IF($C96="","",IFERROR(INDEX('Référentiel'!$K$2:$K$83,MATCH($C96,'Référentiel'!$A$2:$A$83,0)),""))</f>
      </c>
      <c r="W96" s="20">
        <f>IF(AND(ISNUMBER($G96),$I96&lt;&gt;"Hors service",$I96&lt;&gt;"Location terminée"),$G96+ROW()/100000,"")</f>
      </c>
      <c r="X96" s="9"/>
    </row>
    <row r="97" spans="1:24" x14ac:dyDescent="0.25">
      <c r="A97" s="9"/>
      <c r="B97" s="9"/>
      <c r="C97" s="9"/>
      <c r="D97" s="9"/>
      <c r="E97" s="19">
        <f>IF($A97="","",IF(SUMPRODUCT(MAX((Vérifications!$B$2:$B$1001=$A97)*Vérifications!$L$2:$L$1001))=0,"",SUMPRODUCT(MAX((Vérifications!$B$2:$B$1001=$A97)*Vérifications!$L$2:$L$1001))))</f>
      </c>
      <c r="F97" s="20">
        <f>IF($E97="","",IFERROR(INDEX(Vérifications!$E$2:$E$1001,MATCH($A97&amp;"|"&amp;$E97,Vérifications!$M$2:$M$1001,0)),""))</f>
      </c>
      <c r="G97" s="19">
        <f>IF($N97="","",IF(ISNUMBER($E97),EDATE($E97,$N97),IF(AND(ISNUMBER($U97),IFERROR(INDEX('Référentiel'!$E$2:$E$83,MATCH($C97,'Référentiel'!$A$2:$A$83,0)),0)&gt;0),EDATE($U97,IFERROR(INDEX('Référentiel'!$E$2:$E$83,MATCH($C97,'Référentiel'!$A$2:$A$83,0)),0)),"")))</f>
      </c>
      <c r="H97" s="21">
        <f>IF(ISNUMBER($G97),$G97-TODAY(),"")</f>
      </c>
      <c r="I97" s="20">
        <f>IF(AND($A97="",$C97=""),"",IF($T97="Non","Hors service",IF(AND($Q97="Location",ISNUMBER($R97),$R97&lt;TODAY()),"Location terminée",IF(OR($F97="Mise à l'arrêt",IF($A97="",0,SUMPRODUCT((Réserves!$B$2:$B$301=$A97)*(Réserves!$E$2:$E$301="Mise à l'arrêt")*(Réserves!$J$2:$J$301&lt;&gt;"Levée")*(Réserves!$J$2:$J$301&lt;&gt;"")))&gt;0),"Arrêt : réserve à lever",IF($C97="","Type à choisir",IF($N97="","Périodicité à saisir",IF(OR(ISTEXT($U97),ISTEXT($R97)),"Date à corriger",IF(AND($E97="",$Q97="Location",$S97&lt;&gt;"Oui"),"Rapport loueur à obtenir",IF(NOT(ISNUMBER($G97)),"Vérif. initiale à tracer",IF($H97&lt;0,"En retard",IF(AND($Q97="Location",$S97&lt;&gt;"Oui"),"Rapport loueur à obtenir",IF($H97&lt;='Tableau de bord'!$C$4,"À planifier","À jour"))))))))))))</f>
      </c>
      <c r="J97" s="22">
        <f>IF($A97="","",COUNTIFS(Réserves!$B$2:$B$301,$A97,Réserves!$J$2:$J$301,"Ouverte")+COUNTIFS(Réserves!$B$2:$B$301,$A97,Réserves!$J$2:$J$301,"En retard"))</f>
      </c>
      <c r="K97" s="20">
        <f>IF($C97="","",IFERROR(INDEX('Référentiel'!$B$2:$B$83,MATCH($C97,'Référentiel'!$A$2:$A$83,0)),"Type hors liste"))</f>
      </c>
      <c r="L97" s="22">
        <f>IF($C97="","",IF(IFERROR(INDEX('Référentiel'!$C$2:$C$83,MATCH($C97,'Référentiel'!$A$2:$A$83,0)),0)=0,"",IFERROR(INDEX('Référentiel'!$C$2:$C$83,MATCH($C97,'Référentiel'!$A$2:$A$83,0)),0)))</f>
      </c>
      <c r="M97" s="23"/>
      <c r="N97" s="22">
        <f>IF($C97="","",IF(IF($M97&lt;&gt;"",IF($L97&lt;&gt;"",MIN($L97,$M97),$M97),IF($L97&lt;&gt;"",$L97,IF(IFERROR(INDEX('Référentiel'!$D$2:$D$83,MATCH($C97,'Référentiel'!$A$2:$A$83,0)),0)&gt;0,IFERROR(INDEX('Référentiel'!$D$2:$D$83,MATCH($C97,'Référentiel'!$A$2:$A$83,0)),0),"")))="","",IF(AND(IFERROR(INDEX('Référentiel'!$F$2:$F$83,MATCH($C97,'Référentiel'!$A$2:$A$83,0)),0)&gt;0,N($J97)&gt;0),MIN(IF($M97&lt;&gt;"",IF($L97&lt;&gt;"",MIN($L97,$M97),$M97),IF($L97&lt;&gt;"",$L97,IF(IFERROR(INDEX('Référentiel'!$D$2:$D$83,MATCH($C97,'Référentiel'!$A$2:$A$83,0)),0)&gt;0,IFERROR(INDEX('Référentiel'!$D$2:$D$83,MATCH($C97,'Référentiel'!$A$2:$A$83,0)),0),""))),IFERROR(INDEX('Référentiel'!$F$2:$F$83,MATCH($C97,'Référentiel'!$A$2:$A$83,0)),0)),IF($M97&lt;&gt;"",IF($L97&lt;&gt;"",MIN($L97,$M97),$M97),IF($L97&lt;&gt;"",$L97,IF(IFERROR(INDEX('Référentiel'!$D$2:$D$83,MATCH($C97,'Référentiel'!$A$2:$A$83,0)),0)&gt;0,IFERROR(INDEX('Référentiel'!$D$2:$D$83,MATCH($C97,'Référentiel'!$A$2:$A$83,0)),0),""))))))</f>
      </c>
      <c r="O97" s="9"/>
      <c r="P97" s="23"/>
      <c r="Q97" s="9"/>
      <c r="R97" s="24"/>
      <c r="S97" s="23"/>
      <c r="T97" s="23"/>
      <c r="U97" s="24"/>
      <c r="V97" s="20">
        <f>IF($C97="","",IFERROR(INDEX('Référentiel'!$K$2:$K$83,MATCH($C97,'Référentiel'!$A$2:$A$83,0)),""))</f>
      </c>
      <c r="W97" s="20">
        <f>IF(AND(ISNUMBER($G97),$I97&lt;&gt;"Hors service",$I97&lt;&gt;"Location terminée"),$G97+ROW()/100000,"")</f>
      </c>
      <c r="X97" s="9"/>
    </row>
    <row r="98" spans="1:24" x14ac:dyDescent="0.25">
      <c r="A98" s="9"/>
      <c r="B98" s="9"/>
      <c r="C98" s="9"/>
      <c r="D98" s="9"/>
      <c r="E98" s="19">
        <f>IF($A98="","",IF(SUMPRODUCT(MAX((Vérifications!$B$2:$B$1001=$A98)*Vérifications!$L$2:$L$1001))=0,"",SUMPRODUCT(MAX((Vérifications!$B$2:$B$1001=$A98)*Vérifications!$L$2:$L$1001))))</f>
      </c>
      <c r="F98" s="20">
        <f>IF($E98="","",IFERROR(INDEX(Vérifications!$E$2:$E$1001,MATCH($A98&amp;"|"&amp;$E98,Vérifications!$M$2:$M$1001,0)),""))</f>
      </c>
      <c r="G98" s="19">
        <f>IF($N98="","",IF(ISNUMBER($E98),EDATE($E98,$N98),IF(AND(ISNUMBER($U98),IFERROR(INDEX('Référentiel'!$E$2:$E$83,MATCH($C98,'Référentiel'!$A$2:$A$83,0)),0)&gt;0),EDATE($U98,IFERROR(INDEX('Référentiel'!$E$2:$E$83,MATCH($C98,'Référentiel'!$A$2:$A$83,0)),0)),"")))</f>
      </c>
      <c r="H98" s="21">
        <f>IF(ISNUMBER($G98),$G98-TODAY(),"")</f>
      </c>
      <c r="I98" s="20">
        <f>IF(AND($A98="",$C98=""),"",IF($T98="Non","Hors service",IF(AND($Q98="Location",ISNUMBER($R98),$R98&lt;TODAY()),"Location terminée",IF(OR($F98="Mise à l'arrêt",IF($A98="",0,SUMPRODUCT((Réserves!$B$2:$B$301=$A98)*(Réserves!$E$2:$E$301="Mise à l'arrêt")*(Réserves!$J$2:$J$301&lt;&gt;"Levée")*(Réserves!$J$2:$J$301&lt;&gt;"")))&gt;0),"Arrêt : réserve à lever",IF($C98="","Type à choisir",IF($N98="","Périodicité à saisir",IF(OR(ISTEXT($U98),ISTEXT($R98)),"Date à corriger",IF(AND($E98="",$Q98="Location",$S98&lt;&gt;"Oui"),"Rapport loueur à obtenir",IF(NOT(ISNUMBER($G98)),"Vérif. initiale à tracer",IF($H98&lt;0,"En retard",IF(AND($Q98="Location",$S98&lt;&gt;"Oui"),"Rapport loueur à obtenir",IF($H98&lt;='Tableau de bord'!$C$4,"À planifier","À jour"))))))))))))</f>
      </c>
      <c r="J98" s="22">
        <f>IF($A98="","",COUNTIFS(Réserves!$B$2:$B$301,$A98,Réserves!$J$2:$J$301,"Ouverte")+COUNTIFS(Réserves!$B$2:$B$301,$A98,Réserves!$J$2:$J$301,"En retard"))</f>
      </c>
      <c r="K98" s="20">
        <f>IF($C98="","",IFERROR(INDEX('Référentiel'!$B$2:$B$83,MATCH($C98,'Référentiel'!$A$2:$A$83,0)),"Type hors liste"))</f>
      </c>
      <c r="L98" s="22">
        <f>IF($C98="","",IF(IFERROR(INDEX('Référentiel'!$C$2:$C$83,MATCH($C98,'Référentiel'!$A$2:$A$83,0)),0)=0,"",IFERROR(INDEX('Référentiel'!$C$2:$C$83,MATCH($C98,'Référentiel'!$A$2:$A$83,0)),0)))</f>
      </c>
      <c r="M98" s="23"/>
      <c r="N98" s="22">
        <f>IF($C98="","",IF(IF($M98&lt;&gt;"",IF($L98&lt;&gt;"",MIN($L98,$M98),$M98),IF($L98&lt;&gt;"",$L98,IF(IFERROR(INDEX('Référentiel'!$D$2:$D$83,MATCH($C98,'Référentiel'!$A$2:$A$83,0)),0)&gt;0,IFERROR(INDEX('Référentiel'!$D$2:$D$83,MATCH($C98,'Référentiel'!$A$2:$A$83,0)),0),"")))="","",IF(AND(IFERROR(INDEX('Référentiel'!$F$2:$F$83,MATCH($C98,'Référentiel'!$A$2:$A$83,0)),0)&gt;0,N($J98)&gt;0),MIN(IF($M98&lt;&gt;"",IF($L98&lt;&gt;"",MIN($L98,$M98),$M98),IF($L98&lt;&gt;"",$L98,IF(IFERROR(INDEX('Référentiel'!$D$2:$D$83,MATCH($C98,'Référentiel'!$A$2:$A$83,0)),0)&gt;0,IFERROR(INDEX('Référentiel'!$D$2:$D$83,MATCH($C98,'Référentiel'!$A$2:$A$83,0)),0),""))),IFERROR(INDEX('Référentiel'!$F$2:$F$83,MATCH($C98,'Référentiel'!$A$2:$A$83,0)),0)),IF($M98&lt;&gt;"",IF($L98&lt;&gt;"",MIN($L98,$M98),$M98),IF($L98&lt;&gt;"",$L98,IF(IFERROR(INDEX('Référentiel'!$D$2:$D$83,MATCH($C98,'Référentiel'!$A$2:$A$83,0)),0)&gt;0,IFERROR(INDEX('Référentiel'!$D$2:$D$83,MATCH($C98,'Référentiel'!$A$2:$A$83,0)),0),""))))))</f>
      </c>
      <c r="O98" s="9"/>
      <c r="P98" s="23"/>
      <c r="Q98" s="9"/>
      <c r="R98" s="24"/>
      <c r="S98" s="23"/>
      <c r="T98" s="23"/>
      <c r="U98" s="24"/>
      <c r="V98" s="20">
        <f>IF($C98="","",IFERROR(INDEX('Référentiel'!$K$2:$K$83,MATCH($C98,'Référentiel'!$A$2:$A$83,0)),""))</f>
      </c>
      <c r="W98" s="20">
        <f>IF(AND(ISNUMBER($G98),$I98&lt;&gt;"Hors service",$I98&lt;&gt;"Location terminée"),$G98+ROW()/100000,"")</f>
      </c>
      <c r="X98" s="9"/>
    </row>
    <row r="99" spans="1:24" x14ac:dyDescent="0.25">
      <c r="A99" s="9"/>
      <c r="B99" s="9"/>
      <c r="C99" s="9"/>
      <c r="D99" s="9"/>
      <c r="E99" s="19">
        <f>IF($A99="","",IF(SUMPRODUCT(MAX((Vérifications!$B$2:$B$1001=$A99)*Vérifications!$L$2:$L$1001))=0,"",SUMPRODUCT(MAX((Vérifications!$B$2:$B$1001=$A99)*Vérifications!$L$2:$L$1001))))</f>
      </c>
      <c r="F99" s="20">
        <f>IF($E99="","",IFERROR(INDEX(Vérifications!$E$2:$E$1001,MATCH($A99&amp;"|"&amp;$E99,Vérifications!$M$2:$M$1001,0)),""))</f>
      </c>
      <c r="G99" s="19">
        <f>IF($N99="","",IF(ISNUMBER($E99),EDATE($E99,$N99),IF(AND(ISNUMBER($U99),IFERROR(INDEX('Référentiel'!$E$2:$E$83,MATCH($C99,'Référentiel'!$A$2:$A$83,0)),0)&gt;0),EDATE($U99,IFERROR(INDEX('Référentiel'!$E$2:$E$83,MATCH($C99,'Référentiel'!$A$2:$A$83,0)),0)),"")))</f>
      </c>
      <c r="H99" s="21">
        <f>IF(ISNUMBER($G99),$G99-TODAY(),"")</f>
      </c>
      <c r="I99" s="20">
        <f>IF(AND($A99="",$C99=""),"",IF($T99="Non","Hors service",IF(AND($Q99="Location",ISNUMBER($R99),$R99&lt;TODAY()),"Location terminée",IF(OR($F99="Mise à l'arrêt",IF($A99="",0,SUMPRODUCT((Réserves!$B$2:$B$301=$A99)*(Réserves!$E$2:$E$301="Mise à l'arrêt")*(Réserves!$J$2:$J$301&lt;&gt;"Levée")*(Réserves!$J$2:$J$301&lt;&gt;"")))&gt;0),"Arrêt : réserve à lever",IF($C99="","Type à choisir",IF($N99="","Périodicité à saisir",IF(OR(ISTEXT($U99),ISTEXT($R99)),"Date à corriger",IF(AND($E99="",$Q99="Location",$S99&lt;&gt;"Oui"),"Rapport loueur à obtenir",IF(NOT(ISNUMBER($G99)),"Vérif. initiale à tracer",IF($H99&lt;0,"En retard",IF(AND($Q99="Location",$S99&lt;&gt;"Oui"),"Rapport loueur à obtenir",IF($H99&lt;='Tableau de bord'!$C$4,"À planifier","À jour"))))))))))))</f>
      </c>
      <c r="J99" s="22">
        <f>IF($A99="","",COUNTIFS(Réserves!$B$2:$B$301,$A99,Réserves!$J$2:$J$301,"Ouverte")+COUNTIFS(Réserves!$B$2:$B$301,$A99,Réserves!$J$2:$J$301,"En retard"))</f>
      </c>
      <c r="K99" s="20">
        <f>IF($C99="","",IFERROR(INDEX('Référentiel'!$B$2:$B$83,MATCH($C99,'Référentiel'!$A$2:$A$83,0)),"Type hors liste"))</f>
      </c>
      <c r="L99" s="22">
        <f>IF($C99="","",IF(IFERROR(INDEX('Référentiel'!$C$2:$C$83,MATCH($C99,'Référentiel'!$A$2:$A$83,0)),0)=0,"",IFERROR(INDEX('Référentiel'!$C$2:$C$83,MATCH($C99,'Référentiel'!$A$2:$A$83,0)),0)))</f>
      </c>
      <c r="M99" s="23"/>
      <c r="N99" s="22">
        <f>IF($C99="","",IF(IF($M99&lt;&gt;"",IF($L99&lt;&gt;"",MIN($L99,$M99),$M99),IF($L99&lt;&gt;"",$L99,IF(IFERROR(INDEX('Référentiel'!$D$2:$D$83,MATCH($C99,'Référentiel'!$A$2:$A$83,0)),0)&gt;0,IFERROR(INDEX('Référentiel'!$D$2:$D$83,MATCH($C99,'Référentiel'!$A$2:$A$83,0)),0),"")))="","",IF(AND(IFERROR(INDEX('Référentiel'!$F$2:$F$83,MATCH($C99,'Référentiel'!$A$2:$A$83,0)),0)&gt;0,N($J99)&gt;0),MIN(IF($M99&lt;&gt;"",IF($L99&lt;&gt;"",MIN($L99,$M99),$M99),IF($L99&lt;&gt;"",$L99,IF(IFERROR(INDEX('Référentiel'!$D$2:$D$83,MATCH($C99,'Référentiel'!$A$2:$A$83,0)),0)&gt;0,IFERROR(INDEX('Référentiel'!$D$2:$D$83,MATCH($C99,'Référentiel'!$A$2:$A$83,0)),0),""))),IFERROR(INDEX('Référentiel'!$F$2:$F$83,MATCH($C99,'Référentiel'!$A$2:$A$83,0)),0)),IF($M99&lt;&gt;"",IF($L99&lt;&gt;"",MIN($L99,$M99),$M99),IF($L99&lt;&gt;"",$L99,IF(IFERROR(INDEX('Référentiel'!$D$2:$D$83,MATCH($C99,'Référentiel'!$A$2:$A$83,0)),0)&gt;0,IFERROR(INDEX('Référentiel'!$D$2:$D$83,MATCH($C99,'Référentiel'!$A$2:$A$83,0)),0),""))))))</f>
      </c>
      <c r="O99" s="9"/>
      <c r="P99" s="23"/>
      <c r="Q99" s="9"/>
      <c r="R99" s="24"/>
      <c r="S99" s="23"/>
      <c r="T99" s="23"/>
      <c r="U99" s="24"/>
      <c r="V99" s="20">
        <f>IF($C99="","",IFERROR(INDEX('Référentiel'!$K$2:$K$83,MATCH($C99,'Référentiel'!$A$2:$A$83,0)),""))</f>
      </c>
      <c r="W99" s="20">
        <f>IF(AND(ISNUMBER($G99),$I99&lt;&gt;"Hors service",$I99&lt;&gt;"Location terminée"),$G99+ROW()/100000,"")</f>
      </c>
      <c r="X99" s="9"/>
    </row>
    <row r="100" spans="1:24" x14ac:dyDescent="0.25">
      <c r="A100" s="9"/>
      <c r="B100" s="9"/>
      <c r="C100" s="9"/>
      <c r="D100" s="9"/>
      <c r="E100" s="19">
        <f>IF($A100="","",IF(SUMPRODUCT(MAX((Vérifications!$B$2:$B$1001=$A100)*Vérifications!$L$2:$L$1001))=0,"",SUMPRODUCT(MAX((Vérifications!$B$2:$B$1001=$A100)*Vérifications!$L$2:$L$1001))))</f>
      </c>
      <c r="F100" s="20">
        <f>IF($E100="","",IFERROR(INDEX(Vérifications!$E$2:$E$1001,MATCH($A100&amp;"|"&amp;$E100,Vérifications!$M$2:$M$1001,0)),""))</f>
      </c>
      <c r="G100" s="19">
        <f>IF($N100="","",IF(ISNUMBER($E100),EDATE($E100,$N100),IF(AND(ISNUMBER($U100),IFERROR(INDEX('Référentiel'!$E$2:$E$83,MATCH($C100,'Référentiel'!$A$2:$A$83,0)),0)&gt;0),EDATE($U100,IFERROR(INDEX('Référentiel'!$E$2:$E$83,MATCH($C100,'Référentiel'!$A$2:$A$83,0)),0)),"")))</f>
      </c>
      <c r="H100" s="21">
        <f>IF(ISNUMBER($G100),$G100-TODAY(),"")</f>
      </c>
      <c r="I100" s="20">
        <f>IF(AND($A100="",$C100=""),"",IF($T100="Non","Hors service",IF(AND($Q100="Location",ISNUMBER($R100),$R100&lt;TODAY()),"Location terminée",IF(OR($F100="Mise à l'arrêt",IF($A100="",0,SUMPRODUCT((Réserves!$B$2:$B$301=$A100)*(Réserves!$E$2:$E$301="Mise à l'arrêt")*(Réserves!$J$2:$J$301&lt;&gt;"Levée")*(Réserves!$J$2:$J$301&lt;&gt;"")))&gt;0),"Arrêt : réserve à lever",IF($C100="","Type à choisir",IF($N100="","Périodicité à saisir",IF(OR(ISTEXT($U100),ISTEXT($R100)),"Date à corriger",IF(AND($E100="",$Q100="Location",$S100&lt;&gt;"Oui"),"Rapport loueur à obtenir",IF(NOT(ISNUMBER($G100)),"Vérif. initiale à tracer",IF($H100&lt;0,"En retard",IF(AND($Q100="Location",$S100&lt;&gt;"Oui"),"Rapport loueur à obtenir",IF($H100&lt;='Tableau de bord'!$C$4,"À planifier","À jour"))))))))))))</f>
      </c>
      <c r="J100" s="22">
        <f>IF($A100="","",COUNTIFS(Réserves!$B$2:$B$301,$A100,Réserves!$J$2:$J$301,"Ouverte")+COUNTIFS(Réserves!$B$2:$B$301,$A100,Réserves!$J$2:$J$301,"En retard"))</f>
      </c>
      <c r="K100" s="20">
        <f>IF($C100="","",IFERROR(INDEX('Référentiel'!$B$2:$B$83,MATCH($C100,'Référentiel'!$A$2:$A$83,0)),"Type hors liste"))</f>
      </c>
      <c r="L100" s="22">
        <f>IF($C100="","",IF(IFERROR(INDEX('Référentiel'!$C$2:$C$83,MATCH($C100,'Référentiel'!$A$2:$A$83,0)),0)=0,"",IFERROR(INDEX('Référentiel'!$C$2:$C$83,MATCH($C100,'Référentiel'!$A$2:$A$83,0)),0)))</f>
      </c>
      <c r="M100" s="23"/>
      <c r="N100" s="22">
        <f>IF($C100="","",IF(IF($M100&lt;&gt;"",IF($L100&lt;&gt;"",MIN($L100,$M100),$M100),IF($L100&lt;&gt;"",$L100,IF(IFERROR(INDEX('Référentiel'!$D$2:$D$83,MATCH($C100,'Référentiel'!$A$2:$A$83,0)),0)&gt;0,IFERROR(INDEX('Référentiel'!$D$2:$D$83,MATCH($C100,'Référentiel'!$A$2:$A$83,0)),0),"")))="","",IF(AND(IFERROR(INDEX('Référentiel'!$F$2:$F$83,MATCH($C100,'Référentiel'!$A$2:$A$83,0)),0)&gt;0,N($J100)&gt;0),MIN(IF($M100&lt;&gt;"",IF($L100&lt;&gt;"",MIN($L100,$M100),$M100),IF($L100&lt;&gt;"",$L100,IF(IFERROR(INDEX('Référentiel'!$D$2:$D$83,MATCH($C100,'Référentiel'!$A$2:$A$83,0)),0)&gt;0,IFERROR(INDEX('Référentiel'!$D$2:$D$83,MATCH($C100,'Référentiel'!$A$2:$A$83,0)),0),""))),IFERROR(INDEX('Référentiel'!$F$2:$F$83,MATCH($C100,'Référentiel'!$A$2:$A$83,0)),0)),IF($M100&lt;&gt;"",IF($L100&lt;&gt;"",MIN($L100,$M100),$M100),IF($L100&lt;&gt;"",$L100,IF(IFERROR(INDEX('Référentiel'!$D$2:$D$83,MATCH($C100,'Référentiel'!$A$2:$A$83,0)),0)&gt;0,IFERROR(INDEX('Référentiel'!$D$2:$D$83,MATCH($C100,'Référentiel'!$A$2:$A$83,0)),0),""))))))</f>
      </c>
      <c r="O100" s="9"/>
      <c r="P100" s="23"/>
      <c r="Q100" s="9"/>
      <c r="R100" s="24"/>
      <c r="S100" s="23"/>
      <c r="T100" s="23"/>
      <c r="U100" s="24"/>
      <c r="V100" s="20">
        <f>IF($C100="","",IFERROR(INDEX('Référentiel'!$K$2:$K$83,MATCH($C100,'Référentiel'!$A$2:$A$83,0)),""))</f>
      </c>
      <c r="W100" s="20">
        <f>IF(AND(ISNUMBER($G100),$I100&lt;&gt;"Hors service",$I100&lt;&gt;"Location terminée"),$G100+ROW()/100000,"")</f>
      </c>
      <c r="X100" s="9"/>
    </row>
    <row r="101" spans="1:24" x14ac:dyDescent="0.25">
      <c r="A101" s="9"/>
      <c r="B101" s="9"/>
      <c r="C101" s="9"/>
      <c r="D101" s="9"/>
      <c r="E101" s="19">
        <f>IF($A101="","",IF(SUMPRODUCT(MAX((Vérifications!$B$2:$B$1001=$A101)*Vérifications!$L$2:$L$1001))=0,"",SUMPRODUCT(MAX((Vérifications!$B$2:$B$1001=$A101)*Vérifications!$L$2:$L$1001))))</f>
      </c>
      <c r="F101" s="20">
        <f>IF($E101="","",IFERROR(INDEX(Vérifications!$E$2:$E$1001,MATCH($A101&amp;"|"&amp;$E101,Vérifications!$M$2:$M$1001,0)),""))</f>
      </c>
      <c r="G101" s="19">
        <f>IF($N101="","",IF(ISNUMBER($E101),EDATE($E101,$N101),IF(AND(ISNUMBER($U101),IFERROR(INDEX('Référentiel'!$E$2:$E$83,MATCH($C101,'Référentiel'!$A$2:$A$83,0)),0)&gt;0),EDATE($U101,IFERROR(INDEX('Référentiel'!$E$2:$E$83,MATCH($C101,'Référentiel'!$A$2:$A$83,0)),0)),"")))</f>
      </c>
      <c r="H101" s="21">
        <f>IF(ISNUMBER($G101),$G101-TODAY(),"")</f>
      </c>
      <c r="I101" s="20">
        <f>IF(AND($A101="",$C101=""),"",IF($T101="Non","Hors service",IF(AND($Q101="Location",ISNUMBER($R101),$R101&lt;TODAY()),"Location terminée",IF(OR($F101="Mise à l'arrêt",IF($A101="",0,SUMPRODUCT((Réserves!$B$2:$B$301=$A101)*(Réserves!$E$2:$E$301="Mise à l'arrêt")*(Réserves!$J$2:$J$301&lt;&gt;"Levée")*(Réserves!$J$2:$J$301&lt;&gt;"")))&gt;0),"Arrêt : réserve à lever",IF($C101="","Type à choisir",IF($N101="","Périodicité à saisir",IF(OR(ISTEXT($U101),ISTEXT($R101)),"Date à corriger",IF(AND($E101="",$Q101="Location",$S101&lt;&gt;"Oui"),"Rapport loueur à obtenir",IF(NOT(ISNUMBER($G101)),"Vérif. initiale à tracer",IF($H101&lt;0,"En retard",IF(AND($Q101="Location",$S101&lt;&gt;"Oui"),"Rapport loueur à obtenir",IF($H101&lt;='Tableau de bord'!$C$4,"À planifier","À jour"))))))))))))</f>
      </c>
      <c r="J101" s="22">
        <f>IF($A101="","",COUNTIFS(Réserves!$B$2:$B$301,$A101,Réserves!$J$2:$J$301,"Ouverte")+COUNTIFS(Réserves!$B$2:$B$301,$A101,Réserves!$J$2:$J$301,"En retard"))</f>
      </c>
      <c r="K101" s="20">
        <f>IF($C101="","",IFERROR(INDEX('Référentiel'!$B$2:$B$83,MATCH($C101,'Référentiel'!$A$2:$A$83,0)),"Type hors liste"))</f>
      </c>
      <c r="L101" s="22">
        <f>IF($C101="","",IF(IFERROR(INDEX('Référentiel'!$C$2:$C$83,MATCH($C101,'Référentiel'!$A$2:$A$83,0)),0)=0,"",IFERROR(INDEX('Référentiel'!$C$2:$C$83,MATCH($C101,'Référentiel'!$A$2:$A$83,0)),0)))</f>
      </c>
      <c r="M101" s="23"/>
      <c r="N101" s="22">
        <f>IF($C101="","",IF(IF($M101&lt;&gt;"",IF($L101&lt;&gt;"",MIN($L101,$M101),$M101),IF($L101&lt;&gt;"",$L101,IF(IFERROR(INDEX('Référentiel'!$D$2:$D$83,MATCH($C101,'Référentiel'!$A$2:$A$83,0)),0)&gt;0,IFERROR(INDEX('Référentiel'!$D$2:$D$83,MATCH($C101,'Référentiel'!$A$2:$A$83,0)),0),"")))="","",IF(AND(IFERROR(INDEX('Référentiel'!$F$2:$F$83,MATCH($C101,'Référentiel'!$A$2:$A$83,0)),0)&gt;0,N($J101)&gt;0),MIN(IF($M101&lt;&gt;"",IF($L101&lt;&gt;"",MIN($L101,$M101),$M101),IF($L101&lt;&gt;"",$L101,IF(IFERROR(INDEX('Référentiel'!$D$2:$D$83,MATCH($C101,'Référentiel'!$A$2:$A$83,0)),0)&gt;0,IFERROR(INDEX('Référentiel'!$D$2:$D$83,MATCH($C101,'Référentiel'!$A$2:$A$83,0)),0),""))),IFERROR(INDEX('Référentiel'!$F$2:$F$83,MATCH($C101,'Référentiel'!$A$2:$A$83,0)),0)),IF($M101&lt;&gt;"",IF($L101&lt;&gt;"",MIN($L101,$M101),$M101),IF($L101&lt;&gt;"",$L101,IF(IFERROR(INDEX('Référentiel'!$D$2:$D$83,MATCH($C101,'Référentiel'!$A$2:$A$83,0)),0)&gt;0,IFERROR(INDEX('Référentiel'!$D$2:$D$83,MATCH($C101,'Référentiel'!$A$2:$A$83,0)),0),""))))))</f>
      </c>
      <c r="O101" s="9"/>
      <c r="P101" s="23"/>
      <c r="Q101" s="9"/>
      <c r="R101" s="24"/>
      <c r="S101" s="23"/>
      <c r="T101" s="23"/>
      <c r="U101" s="24"/>
      <c r="V101" s="20">
        <f>IF($C101="","",IFERROR(INDEX('Référentiel'!$K$2:$K$83,MATCH($C101,'Référentiel'!$A$2:$A$83,0)),""))</f>
      </c>
      <c r="W101" s="20">
        <f>IF(AND(ISNUMBER($G101),$I101&lt;&gt;"Hors service",$I101&lt;&gt;"Location terminée"),$G101+ROW()/100000,"")</f>
      </c>
      <c r="X101" s="9"/>
    </row>
    <row r="102" spans="1:24" x14ac:dyDescent="0.25">
      <c r="A102" s="9"/>
      <c r="B102" s="9"/>
      <c r="C102" s="9"/>
      <c r="D102" s="9"/>
      <c r="E102" s="19">
        <f>IF($A102="","",IF(SUMPRODUCT(MAX((Vérifications!$B$2:$B$1001=$A102)*Vérifications!$L$2:$L$1001))=0,"",SUMPRODUCT(MAX((Vérifications!$B$2:$B$1001=$A102)*Vérifications!$L$2:$L$1001))))</f>
      </c>
      <c r="F102" s="20">
        <f>IF($E102="","",IFERROR(INDEX(Vérifications!$E$2:$E$1001,MATCH($A102&amp;"|"&amp;$E102,Vérifications!$M$2:$M$1001,0)),""))</f>
      </c>
      <c r="G102" s="19">
        <f>IF($N102="","",IF(ISNUMBER($E102),EDATE($E102,$N102),IF(AND(ISNUMBER($U102),IFERROR(INDEX('Référentiel'!$E$2:$E$83,MATCH($C102,'Référentiel'!$A$2:$A$83,0)),0)&gt;0),EDATE($U102,IFERROR(INDEX('Référentiel'!$E$2:$E$83,MATCH($C102,'Référentiel'!$A$2:$A$83,0)),0)),"")))</f>
      </c>
      <c r="H102" s="21">
        <f>IF(ISNUMBER($G102),$G102-TODAY(),"")</f>
      </c>
      <c r="I102" s="20">
        <f>IF(AND($A102="",$C102=""),"",IF($T102="Non","Hors service",IF(AND($Q102="Location",ISNUMBER($R102),$R102&lt;TODAY()),"Location terminée",IF(OR($F102="Mise à l'arrêt",IF($A102="",0,SUMPRODUCT((Réserves!$B$2:$B$301=$A102)*(Réserves!$E$2:$E$301="Mise à l'arrêt")*(Réserves!$J$2:$J$301&lt;&gt;"Levée")*(Réserves!$J$2:$J$301&lt;&gt;"")))&gt;0),"Arrêt : réserve à lever",IF($C102="","Type à choisir",IF($N102="","Périodicité à saisir",IF(OR(ISTEXT($U102),ISTEXT($R102)),"Date à corriger",IF(AND($E102="",$Q102="Location",$S102&lt;&gt;"Oui"),"Rapport loueur à obtenir",IF(NOT(ISNUMBER($G102)),"Vérif. initiale à tracer",IF($H102&lt;0,"En retard",IF(AND($Q102="Location",$S102&lt;&gt;"Oui"),"Rapport loueur à obtenir",IF($H102&lt;='Tableau de bord'!$C$4,"À planifier","À jour"))))))))))))</f>
      </c>
      <c r="J102" s="22">
        <f>IF($A102="","",COUNTIFS(Réserves!$B$2:$B$301,$A102,Réserves!$J$2:$J$301,"Ouverte")+COUNTIFS(Réserves!$B$2:$B$301,$A102,Réserves!$J$2:$J$301,"En retard"))</f>
      </c>
      <c r="K102" s="20">
        <f>IF($C102="","",IFERROR(INDEX('Référentiel'!$B$2:$B$83,MATCH($C102,'Référentiel'!$A$2:$A$83,0)),"Type hors liste"))</f>
      </c>
      <c r="L102" s="22">
        <f>IF($C102="","",IF(IFERROR(INDEX('Référentiel'!$C$2:$C$83,MATCH($C102,'Référentiel'!$A$2:$A$83,0)),0)=0,"",IFERROR(INDEX('Référentiel'!$C$2:$C$83,MATCH($C102,'Référentiel'!$A$2:$A$83,0)),0)))</f>
      </c>
      <c r="M102" s="23"/>
      <c r="N102" s="22">
        <f>IF($C102="","",IF(IF($M102&lt;&gt;"",IF($L102&lt;&gt;"",MIN($L102,$M102),$M102),IF($L102&lt;&gt;"",$L102,IF(IFERROR(INDEX('Référentiel'!$D$2:$D$83,MATCH($C102,'Référentiel'!$A$2:$A$83,0)),0)&gt;0,IFERROR(INDEX('Référentiel'!$D$2:$D$83,MATCH($C102,'Référentiel'!$A$2:$A$83,0)),0),"")))="","",IF(AND(IFERROR(INDEX('Référentiel'!$F$2:$F$83,MATCH($C102,'Référentiel'!$A$2:$A$83,0)),0)&gt;0,N($J102)&gt;0),MIN(IF($M102&lt;&gt;"",IF($L102&lt;&gt;"",MIN($L102,$M102),$M102),IF($L102&lt;&gt;"",$L102,IF(IFERROR(INDEX('Référentiel'!$D$2:$D$83,MATCH($C102,'Référentiel'!$A$2:$A$83,0)),0)&gt;0,IFERROR(INDEX('Référentiel'!$D$2:$D$83,MATCH($C102,'Référentiel'!$A$2:$A$83,0)),0),""))),IFERROR(INDEX('Référentiel'!$F$2:$F$83,MATCH($C102,'Référentiel'!$A$2:$A$83,0)),0)),IF($M102&lt;&gt;"",IF($L102&lt;&gt;"",MIN($L102,$M102),$M102),IF($L102&lt;&gt;"",$L102,IF(IFERROR(INDEX('Référentiel'!$D$2:$D$83,MATCH($C102,'Référentiel'!$A$2:$A$83,0)),0)&gt;0,IFERROR(INDEX('Référentiel'!$D$2:$D$83,MATCH($C102,'Référentiel'!$A$2:$A$83,0)),0),""))))))</f>
      </c>
      <c r="O102" s="9"/>
      <c r="P102" s="23"/>
      <c r="Q102" s="9"/>
      <c r="R102" s="24"/>
      <c r="S102" s="23"/>
      <c r="T102" s="23"/>
      <c r="U102" s="24"/>
      <c r="V102" s="20">
        <f>IF($C102="","",IFERROR(INDEX('Référentiel'!$K$2:$K$83,MATCH($C102,'Référentiel'!$A$2:$A$83,0)),""))</f>
      </c>
      <c r="W102" s="20">
        <f>IF(AND(ISNUMBER($G102),$I102&lt;&gt;"Hors service",$I102&lt;&gt;"Location terminée"),$G102+ROW()/100000,"")</f>
      </c>
      <c r="X102" s="9"/>
    </row>
    <row r="103" spans="1:24" x14ac:dyDescent="0.25">
      <c r="A103" s="9"/>
      <c r="B103" s="9"/>
      <c r="C103" s="9"/>
      <c r="D103" s="9"/>
      <c r="E103" s="19">
        <f>IF($A103="","",IF(SUMPRODUCT(MAX((Vérifications!$B$2:$B$1001=$A103)*Vérifications!$L$2:$L$1001))=0,"",SUMPRODUCT(MAX((Vérifications!$B$2:$B$1001=$A103)*Vérifications!$L$2:$L$1001))))</f>
      </c>
      <c r="F103" s="20">
        <f>IF($E103="","",IFERROR(INDEX(Vérifications!$E$2:$E$1001,MATCH($A103&amp;"|"&amp;$E103,Vérifications!$M$2:$M$1001,0)),""))</f>
      </c>
      <c r="G103" s="19">
        <f>IF($N103="","",IF(ISNUMBER($E103),EDATE($E103,$N103),IF(AND(ISNUMBER($U103),IFERROR(INDEX('Référentiel'!$E$2:$E$83,MATCH($C103,'Référentiel'!$A$2:$A$83,0)),0)&gt;0),EDATE($U103,IFERROR(INDEX('Référentiel'!$E$2:$E$83,MATCH($C103,'Référentiel'!$A$2:$A$83,0)),0)),"")))</f>
      </c>
      <c r="H103" s="21">
        <f>IF(ISNUMBER($G103),$G103-TODAY(),"")</f>
      </c>
      <c r="I103" s="20">
        <f>IF(AND($A103="",$C103=""),"",IF($T103="Non","Hors service",IF(AND($Q103="Location",ISNUMBER($R103),$R103&lt;TODAY()),"Location terminée",IF(OR($F103="Mise à l'arrêt",IF($A103="",0,SUMPRODUCT((Réserves!$B$2:$B$301=$A103)*(Réserves!$E$2:$E$301="Mise à l'arrêt")*(Réserves!$J$2:$J$301&lt;&gt;"Levée")*(Réserves!$J$2:$J$301&lt;&gt;"")))&gt;0),"Arrêt : réserve à lever",IF($C103="","Type à choisir",IF($N103="","Périodicité à saisir",IF(OR(ISTEXT($U103),ISTEXT($R103)),"Date à corriger",IF(AND($E103="",$Q103="Location",$S103&lt;&gt;"Oui"),"Rapport loueur à obtenir",IF(NOT(ISNUMBER($G103)),"Vérif. initiale à tracer",IF($H103&lt;0,"En retard",IF(AND($Q103="Location",$S103&lt;&gt;"Oui"),"Rapport loueur à obtenir",IF($H103&lt;='Tableau de bord'!$C$4,"À planifier","À jour"))))))))))))</f>
      </c>
      <c r="J103" s="22">
        <f>IF($A103="","",COUNTIFS(Réserves!$B$2:$B$301,$A103,Réserves!$J$2:$J$301,"Ouverte")+COUNTIFS(Réserves!$B$2:$B$301,$A103,Réserves!$J$2:$J$301,"En retard"))</f>
      </c>
      <c r="K103" s="20">
        <f>IF($C103="","",IFERROR(INDEX('Référentiel'!$B$2:$B$83,MATCH($C103,'Référentiel'!$A$2:$A$83,0)),"Type hors liste"))</f>
      </c>
      <c r="L103" s="22">
        <f>IF($C103="","",IF(IFERROR(INDEX('Référentiel'!$C$2:$C$83,MATCH($C103,'Référentiel'!$A$2:$A$83,0)),0)=0,"",IFERROR(INDEX('Référentiel'!$C$2:$C$83,MATCH($C103,'Référentiel'!$A$2:$A$83,0)),0)))</f>
      </c>
      <c r="M103" s="23"/>
      <c r="N103" s="22">
        <f>IF($C103="","",IF(IF($M103&lt;&gt;"",IF($L103&lt;&gt;"",MIN($L103,$M103),$M103),IF($L103&lt;&gt;"",$L103,IF(IFERROR(INDEX('Référentiel'!$D$2:$D$83,MATCH($C103,'Référentiel'!$A$2:$A$83,0)),0)&gt;0,IFERROR(INDEX('Référentiel'!$D$2:$D$83,MATCH($C103,'Référentiel'!$A$2:$A$83,0)),0),"")))="","",IF(AND(IFERROR(INDEX('Référentiel'!$F$2:$F$83,MATCH($C103,'Référentiel'!$A$2:$A$83,0)),0)&gt;0,N($J103)&gt;0),MIN(IF($M103&lt;&gt;"",IF($L103&lt;&gt;"",MIN($L103,$M103),$M103),IF($L103&lt;&gt;"",$L103,IF(IFERROR(INDEX('Référentiel'!$D$2:$D$83,MATCH($C103,'Référentiel'!$A$2:$A$83,0)),0)&gt;0,IFERROR(INDEX('Référentiel'!$D$2:$D$83,MATCH($C103,'Référentiel'!$A$2:$A$83,0)),0),""))),IFERROR(INDEX('Référentiel'!$F$2:$F$83,MATCH($C103,'Référentiel'!$A$2:$A$83,0)),0)),IF($M103&lt;&gt;"",IF($L103&lt;&gt;"",MIN($L103,$M103),$M103),IF($L103&lt;&gt;"",$L103,IF(IFERROR(INDEX('Référentiel'!$D$2:$D$83,MATCH($C103,'Référentiel'!$A$2:$A$83,0)),0)&gt;0,IFERROR(INDEX('Référentiel'!$D$2:$D$83,MATCH($C103,'Référentiel'!$A$2:$A$83,0)),0),""))))))</f>
      </c>
      <c r="O103" s="9"/>
      <c r="P103" s="23"/>
      <c r="Q103" s="9"/>
      <c r="R103" s="24"/>
      <c r="S103" s="23"/>
      <c r="T103" s="23"/>
      <c r="U103" s="24"/>
      <c r="V103" s="20">
        <f>IF($C103="","",IFERROR(INDEX('Référentiel'!$K$2:$K$83,MATCH($C103,'Référentiel'!$A$2:$A$83,0)),""))</f>
      </c>
      <c r="W103" s="20">
        <f>IF(AND(ISNUMBER($G103),$I103&lt;&gt;"Hors service",$I103&lt;&gt;"Location terminée"),$G103+ROW()/100000,"")</f>
      </c>
      <c r="X103" s="9"/>
    </row>
    <row r="104" spans="1:24" x14ac:dyDescent="0.25">
      <c r="A104" s="9"/>
      <c r="B104" s="9"/>
      <c r="C104" s="9"/>
      <c r="D104" s="9"/>
      <c r="E104" s="19">
        <f>IF($A104="","",IF(SUMPRODUCT(MAX((Vérifications!$B$2:$B$1001=$A104)*Vérifications!$L$2:$L$1001))=0,"",SUMPRODUCT(MAX((Vérifications!$B$2:$B$1001=$A104)*Vérifications!$L$2:$L$1001))))</f>
      </c>
      <c r="F104" s="20">
        <f>IF($E104="","",IFERROR(INDEX(Vérifications!$E$2:$E$1001,MATCH($A104&amp;"|"&amp;$E104,Vérifications!$M$2:$M$1001,0)),""))</f>
      </c>
      <c r="G104" s="19">
        <f>IF($N104="","",IF(ISNUMBER($E104),EDATE($E104,$N104),IF(AND(ISNUMBER($U104),IFERROR(INDEX('Référentiel'!$E$2:$E$83,MATCH($C104,'Référentiel'!$A$2:$A$83,0)),0)&gt;0),EDATE($U104,IFERROR(INDEX('Référentiel'!$E$2:$E$83,MATCH($C104,'Référentiel'!$A$2:$A$83,0)),0)),"")))</f>
      </c>
      <c r="H104" s="21">
        <f>IF(ISNUMBER($G104),$G104-TODAY(),"")</f>
      </c>
      <c r="I104" s="20">
        <f>IF(AND($A104="",$C104=""),"",IF($T104="Non","Hors service",IF(AND($Q104="Location",ISNUMBER($R104),$R104&lt;TODAY()),"Location terminée",IF(OR($F104="Mise à l'arrêt",IF($A104="",0,SUMPRODUCT((Réserves!$B$2:$B$301=$A104)*(Réserves!$E$2:$E$301="Mise à l'arrêt")*(Réserves!$J$2:$J$301&lt;&gt;"Levée")*(Réserves!$J$2:$J$301&lt;&gt;"")))&gt;0),"Arrêt : réserve à lever",IF($C104="","Type à choisir",IF($N104="","Périodicité à saisir",IF(OR(ISTEXT($U104),ISTEXT($R104)),"Date à corriger",IF(AND($E104="",$Q104="Location",$S104&lt;&gt;"Oui"),"Rapport loueur à obtenir",IF(NOT(ISNUMBER($G104)),"Vérif. initiale à tracer",IF($H104&lt;0,"En retard",IF(AND($Q104="Location",$S104&lt;&gt;"Oui"),"Rapport loueur à obtenir",IF($H104&lt;='Tableau de bord'!$C$4,"À planifier","À jour"))))))))))))</f>
      </c>
      <c r="J104" s="22">
        <f>IF($A104="","",COUNTIFS(Réserves!$B$2:$B$301,$A104,Réserves!$J$2:$J$301,"Ouverte")+COUNTIFS(Réserves!$B$2:$B$301,$A104,Réserves!$J$2:$J$301,"En retard"))</f>
      </c>
      <c r="K104" s="20">
        <f>IF($C104="","",IFERROR(INDEX('Référentiel'!$B$2:$B$83,MATCH($C104,'Référentiel'!$A$2:$A$83,0)),"Type hors liste"))</f>
      </c>
      <c r="L104" s="22">
        <f>IF($C104="","",IF(IFERROR(INDEX('Référentiel'!$C$2:$C$83,MATCH($C104,'Référentiel'!$A$2:$A$83,0)),0)=0,"",IFERROR(INDEX('Référentiel'!$C$2:$C$83,MATCH($C104,'Référentiel'!$A$2:$A$83,0)),0)))</f>
      </c>
      <c r="M104" s="23"/>
      <c r="N104" s="22">
        <f>IF($C104="","",IF(IF($M104&lt;&gt;"",IF($L104&lt;&gt;"",MIN($L104,$M104),$M104),IF($L104&lt;&gt;"",$L104,IF(IFERROR(INDEX('Référentiel'!$D$2:$D$83,MATCH($C104,'Référentiel'!$A$2:$A$83,0)),0)&gt;0,IFERROR(INDEX('Référentiel'!$D$2:$D$83,MATCH($C104,'Référentiel'!$A$2:$A$83,0)),0),"")))="","",IF(AND(IFERROR(INDEX('Référentiel'!$F$2:$F$83,MATCH($C104,'Référentiel'!$A$2:$A$83,0)),0)&gt;0,N($J104)&gt;0),MIN(IF($M104&lt;&gt;"",IF($L104&lt;&gt;"",MIN($L104,$M104),$M104),IF($L104&lt;&gt;"",$L104,IF(IFERROR(INDEX('Référentiel'!$D$2:$D$83,MATCH($C104,'Référentiel'!$A$2:$A$83,0)),0)&gt;0,IFERROR(INDEX('Référentiel'!$D$2:$D$83,MATCH($C104,'Référentiel'!$A$2:$A$83,0)),0),""))),IFERROR(INDEX('Référentiel'!$F$2:$F$83,MATCH($C104,'Référentiel'!$A$2:$A$83,0)),0)),IF($M104&lt;&gt;"",IF($L104&lt;&gt;"",MIN($L104,$M104),$M104),IF($L104&lt;&gt;"",$L104,IF(IFERROR(INDEX('Référentiel'!$D$2:$D$83,MATCH($C104,'Référentiel'!$A$2:$A$83,0)),0)&gt;0,IFERROR(INDEX('Référentiel'!$D$2:$D$83,MATCH($C104,'Référentiel'!$A$2:$A$83,0)),0),""))))))</f>
      </c>
      <c r="O104" s="9"/>
      <c r="P104" s="23"/>
      <c r="Q104" s="9"/>
      <c r="R104" s="24"/>
      <c r="S104" s="23"/>
      <c r="T104" s="23"/>
      <c r="U104" s="24"/>
      <c r="V104" s="20">
        <f>IF($C104="","",IFERROR(INDEX('Référentiel'!$K$2:$K$83,MATCH($C104,'Référentiel'!$A$2:$A$83,0)),""))</f>
      </c>
      <c r="W104" s="20">
        <f>IF(AND(ISNUMBER($G104),$I104&lt;&gt;"Hors service",$I104&lt;&gt;"Location terminée"),$G104+ROW()/100000,"")</f>
      </c>
      <c r="X104" s="9"/>
    </row>
    <row r="105" spans="1:24" x14ac:dyDescent="0.25">
      <c r="A105" s="9"/>
      <c r="B105" s="9"/>
      <c r="C105" s="9"/>
      <c r="D105" s="9"/>
      <c r="E105" s="19">
        <f>IF($A105="","",IF(SUMPRODUCT(MAX((Vérifications!$B$2:$B$1001=$A105)*Vérifications!$L$2:$L$1001))=0,"",SUMPRODUCT(MAX((Vérifications!$B$2:$B$1001=$A105)*Vérifications!$L$2:$L$1001))))</f>
      </c>
      <c r="F105" s="20">
        <f>IF($E105="","",IFERROR(INDEX(Vérifications!$E$2:$E$1001,MATCH($A105&amp;"|"&amp;$E105,Vérifications!$M$2:$M$1001,0)),""))</f>
      </c>
      <c r="G105" s="19">
        <f>IF($N105="","",IF(ISNUMBER($E105),EDATE($E105,$N105),IF(AND(ISNUMBER($U105),IFERROR(INDEX('Référentiel'!$E$2:$E$83,MATCH($C105,'Référentiel'!$A$2:$A$83,0)),0)&gt;0),EDATE($U105,IFERROR(INDEX('Référentiel'!$E$2:$E$83,MATCH($C105,'Référentiel'!$A$2:$A$83,0)),0)),"")))</f>
      </c>
      <c r="H105" s="21">
        <f>IF(ISNUMBER($G105),$G105-TODAY(),"")</f>
      </c>
      <c r="I105" s="20">
        <f>IF(AND($A105="",$C105=""),"",IF($T105="Non","Hors service",IF(AND($Q105="Location",ISNUMBER($R105),$R105&lt;TODAY()),"Location terminée",IF(OR($F105="Mise à l'arrêt",IF($A105="",0,SUMPRODUCT((Réserves!$B$2:$B$301=$A105)*(Réserves!$E$2:$E$301="Mise à l'arrêt")*(Réserves!$J$2:$J$301&lt;&gt;"Levée")*(Réserves!$J$2:$J$301&lt;&gt;"")))&gt;0),"Arrêt : réserve à lever",IF($C105="","Type à choisir",IF($N105="","Périodicité à saisir",IF(OR(ISTEXT($U105),ISTEXT($R105)),"Date à corriger",IF(AND($E105="",$Q105="Location",$S105&lt;&gt;"Oui"),"Rapport loueur à obtenir",IF(NOT(ISNUMBER($G105)),"Vérif. initiale à tracer",IF($H105&lt;0,"En retard",IF(AND($Q105="Location",$S105&lt;&gt;"Oui"),"Rapport loueur à obtenir",IF($H105&lt;='Tableau de bord'!$C$4,"À planifier","À jour"))))))))))))</f>
      </c>
      <c r="J105" s="22">
        <f>IF($A105="","",COUNTIFS(Réserves!$B$2:$B$301,$A105,Réserves!$J$2:$J$301,"Ouverte")+COUNTIFS(Réserves!$B$2:$B$301,$A105,Réserves!$J$2:$J$301,"En retard"))</f>
      </c>
      <c r="K105" s="20">
        <f>IF($C105="","",IFERROR(INDEX('Référentiel'!$B$2:$B$83,MATCH($C105,'Référentiel'!$A$2:$A$83,0)),"Type hors liste"))</f>
      </c>
      <c r="L105" s="22">
        <f>IF($C105="","",IF(IFERROR(INDEX('Référentiel'!$C$2:$C$83,MATCH($C105,'Référentiel'!$A$2:$A$83,0)),0)=0,"",IFERROR(INDEX('Référentiel'!$C$2:$C$83,MATCH($C105,'Référentiel'!$A$2:$A$83,0)),0)))</f>
      </c>
      <c r="M105" s="23"/>
      <c r="N105" s="22">
        <f>IF($C105="","",IF(IF($M105&lt;&gt;"",IF($L105&lt;&gt;"",MIN($L105,$M105),$M105),IF($L105&lt;&gt;"",$L105,IF(IFERROR(INDEX('Référentiel'!$D$2:$D$83,MATCH($C105,'Référentiel'!$A$2:$A$83,0)),0)&gt;0,IFERROR(INDEX('Référentiel'!$D$2:$D$83,MATCH($C105,'Référentiel'!$A$2:$A$83,0)),0),"")))="","",IF(AND(IFERROR(INDEX('Référentiel'!$F$2:$F$83,MATCH($C105,'Référentiel'!$A$2:$A$83,0)),0)&gt;0,N($J105)&gt;0),MIN(IF($M105&lt;&gt;"",IF($L105&lt;&gt;"",MIN($L105,$M105),$M105),IF($L105&lt;&gt;"",$L105,IF(IFERROR(INDEX('Référentiel'!$D$2:$D$83,MATCH($C105,'Référentiel'!$A$2:$A$83,0)),0)&gt;0,IFERROR(INDEX('Référentiel'!$D$2:$D$83,MATCH($C105,'Référentiel'!$A$2:$A$83,0)),0),""))),IFERROR(INDEX('Référentiel'!$F$2:$F$83,MATCH($C105,'Référentiel'!$A$2:$A$83,0)),0)),IF($M105&lt;&gt;"",IF($L105&lt;&gt;"",MIN($L105,$M105),$M105),IF($L105&lt;&gt;"",$L105,IF(IFERROR(INDEX('Référentiel'!$D$2:$D$83,MATCH($C105,'Référentiel'!$A$2:$A$83,0)),0)&gt;0,IFERROR(INDEX('Référentiel'!$D$2:$D$83,MATCH($C105,'Référentiel'!$A$2:$A$83,0)),0),""))))))</f>
      </c>
      <c r="O105" s="9"/>
      <c r="P105" s="23"/>
      <c r="Q105" s="9"/>
      <c r="R105" s="24"/>
      <c r="S105" s="23"/>
      <c r="T105" s="23"/>
      <c r="U105" s="24"/>
      <c r="V105" s="20">
        <f>IF($C105="","",IFERROR(INDEX('Référentiel'!$K$2:$K$83,MATCH($C105,'Référentiel'!$A$2:$A$83,0)),""))</f>
      </c>
      <c r="W105" s="20">
        <f>IF(AND(ISNUMBER($G105),$I105&lt;&gt;"Hors service",$I105&lt;&gt;"Location terminée"),$G105+ROW()/100000,"")</f>
      </c>
      <c r="X105" s="9"/>
    </row>
    <row r="106" spans="1:24" x14ac:dyDescent="0.25">
      <c r="A106" s="9"/>
      <c r="B106" s="9"/>
      <c r="C106" s="9"/>
      <c r="D106" s="9"/>
      <c r="E106" s="19">
        <f>IF($A106="","",IF(SUMPRODUCT(MAX((Vérifications!$B$2:$B$1001=$A106)*Vérifications!$L$2:$L$1001))=0,"",SUMPRODUCT(MAX((Vérifications!$B$2:$B$1001=$A106)*Vérifications!$L$2:$L$1001))))</f>
      </c>
      <c r="F106" s="20">
        <f>IF($E106="","",IFERROR(INDEX(Vérifications!$E$2:$E$1001,MATCH($A106&amp;"|"&amp;$E106,Vérifications!$M$2:$M$1001,0)),""))</f>
      </c>
      <c r="G106" s="19">
        <f>IF($N106="","",IF(ISNUMBER($E106),EDATE($E106,$N106),IF(AND(ISNUMBER($U106),IFERROR(INDEX('Référentiel'!$E$2:$E$83,MATCH($C106,'Référentiel'!$A$2:$A$83,0)),0)&gt;0),EDATE($U106,IFERROR(INDEX('Référentiel'!$E$2:$E$83,MATCH($C106,'Référentiel'!$A$2:$A$83,0)),0)),"")))</f>
      </c>
      <c r="H106" s="21">
        <f>IF(ISNUMBER($G106),$G106-TODAY(),"")</f>
      </c>
      <c r="I106" s="20">
        <f>IF(AND($A106="",$C106=""),"",IF($T106="Non","Hors service",IF(AND($Q106="Location",ISNUMBER($R106),$R106&lt;TODAY()),"Location terminée",IF(OR($F106="Mise à l'arrêt",IF($A106="",0,SUMPRODUCT((Réserves!$B$2:$B$301=$A106)*(Réserves!$E$2:$E$301="Mise à l'arrêt")*(Réserves!$J$2:$J$301&lt;&gt;"Levée")*(Réserves!$J$2:$J$301&lt;&gt;"")))&gt;0),"Arrêt : réserve à lever",IF($C106="","Type à choisir",IF($N106="","Périodicité à saisir",IF(OR(ISTEXT($U106),ISTEXT($R106)),"Date à corriger",IF(AND($E106="",$Q106="Location",$S106&lt;&gt;"Oui"),"Rapport loueur à obtenir",IF(NOT(ISNUMBER($G106)),"Vérif. initiale à tracer",IF($H106&lt;0,"En retard",IF(AND($Q106="Location",$S106&lt;&gt;"Oui"),"Rapport loueur à obtenir",IF($H106&lt;='Tableau de bord'!$C$4,"À planifier","À jour"))))))))))))</f>
      </c>
      <c r="J106" s="22">
        <f>IF($A106="","",COUNTIFS(Réserves!$B$2:$B$301,$A106,Réserves!$J$2:$J$301,"Ouverte")+COUNTIFS(Réserves!$B$2:$B$301,$A106,Réserves!$J$2:$J$301,"En retard"))</f>
      </c>
      <c r="K106" s="20">
        <f>IF($C106="","",IFERROR(INDEX('Référentiel'!$B$2:$B$83,MATCH($C106,'Référentiel'!$A$2:$A$83,0)),"Type hors liste"))</f>
      </c>
      <c r="L106" s="22">
        <f>IF($C106="","",IF(IFERROR(INDEX('Référentiel'!$C$2:$C$83,MATCH($C106,'Référentiel'!$A$2:$A$83,0)),0)=0,"",IFERROR(INDEX('Référentiel'!$C$2:$C$83,MATCH($C106,'Référentiel'!$A$2:$A$83,0)),0)))</f>
      </c>
      <c r="M106" s="23"/>
      <c r="N106" s="22">
        <f>IF($C106="","",IF(IF($M106&lt;&gt;"",IF($L106&lt;&gt;"",MIN($L106,$M106),$M106),IF($L106&lt;&gt;"",$L106,IF(IFERROR(INDEX('Référentiel'!$D$2:$D$83,MATCH($C106,'Référentiel'!$A$2:$A$83,0)),0)&gt;0,IFERROR(INDEX('Référentiel'!$D$2:$D$83,MATCH($C106,'Référentiel'!$A$2:$A$83,0)),0),"")))="","",IF(AND(IFERROR(INDEX('Référentiel'!$F$2:$F$83,MATCH($C106,'Référentiel'!$A$2:$A$83,0)),0)&gt;0,N($J106)&gt;0),MIN(IF($M106&lt;&gt;"",IF($L106&lt;&gt;"",MIN($L106,$M106),$M106),IF($L106&lt;&gt;"",$L106,IF(IFERROR(INDEX('Référentiel'!$D$2:$D$83,MATCH($C106,'Référentiel'!$A$2:$A$83,0)),0)&gt;0,IFERROR(INDEX('Référentiel'!$D$2:$D$83,MATCH($C106,'Référentiel'!$A$2:$A$83,0)),0),""))),IFERROR(INDEX('Référentiel'!$F$2:$F$83,MATCH($C106,'Référentiel'!$A$2:$A$83,0)),0)),IF($M106&lt;&gt;"",IF($L106&lt;&gt;"",MIN($L106,$M106),$M106),IF($L106&lt;&gt;"",$L106,IF(IFERROR(INDEX('Référentiel'!$D$2:$D$83,MATCH($C106,'Référentiel'!$A$2:$A$83,0)),0)&gt;0,IFERROR(INDEX('Référentiel'!$D$2:$D$83,MATCH($C106,'Référentiel'!$A$2:$A$83,0)),0),""))))))</f>
      </c>
      <c r="O106" s="9"/>
      <c r="P106" s="23"/>
      <c r="Q106" s="9"/>
      <c r="R106" s="24"/>
      <c r="S106" s="23"/>
      <c r="T106" s="23"/>
      <c r="U106" s="24"/>
      <c r="V106" s="20">
        <f>IF($C106="","",IFERROR(INDEX('Référentiel'!$K$2:$K$83,MATCH($C106,'Référentiel'!$A$2:$A$83,0)),""))</f>
      </c>
      <c r="W106" s="20">
        <f>IF(AND(ISNUMBER($G106),$I106&lt;&gt;"Hors service",$I106&lt;&gt;"Location terminée"),$G106+ROW()/100000,"")</f>
      </c>
      <c r="X106" s="9"/>
    </row>
    <row r="107" spans="1:24" x14ac:dyDescent="0.25">
      <c r="A107" s="9"/>
      <c r="B107" s="9"/>
      <c r="C107" s="9"/>
      <c r="D107" s="9"/>
      <c r="E107" s="19">
        <f>IF($A107="","",IF(SUMPRODUCT(MAX((Vérifications!$B$2:$B$1001=$A107)*Vérifications!$L$2:$L$1001))=0,"",SUMPRODUCT(MAX((Vérifications!$B$2:$B$1001=$A107)*Vérifications!$L$2:$L$1001))))</f>
      </c>
      <c r="F107" s="20">
        <f>IF($E107="","",IFERROR(INDEX(Vérifications!$E$2:$E$1001,MATCH($A107&amp;"|"&amp;$E107,Vérifications!$M$2:$M$1001,0)),""))</f>
      </c>
      <c r="G107" s="19">
        <f>IF($N107="","",IF(ISNUMBER($E107),EDATE($E107,$N107),IF(AND(ISNUMBER($U107),IFERROR(INDEX('Référentiel'!$E$2:$E$83,MATCH($C107,'Référentiel'!$A$2:$A$83,0)),0)&gt;0),EDATE($U107,IFERROR(INDEX('Référentiel'!$E$2:$E$83,MATCH($C107,'Référentiel'!$A$2:$A$83,0)),0)),"")))</f>
      </c>
      <c r="H107" s="21">
        <f>IF(ISNUMBER($G107),$G107-TODAY(),"")</f>
      </c>
      <c r="I107" s="20">
        <f>IF(AND($A107="",$C107=""),"",IF($T107="Non","Hors service",IF(AND($Q107="Location",ISNUMBER($R107),$R107&lt;TODAY()),"Location terminée",IF(OR($F107="Mise à l'arrêt",IF($A107="",0,SUMPRODUCT((Réserves!$B$2:$B$301=$A107)*(Réserves!$E$2:$E$301="Mise à l'arrêt")*(Réserves!$J$2:$J$301&lt;&gt;"Levée")*(Réserves!$J$2:$J$301&lt;&gt;"")))&gt;0),"Arrêt : réserve à lever",IF($C107="","Type à choisir",IF($N107="","Périodicité à saisir",IF(OR(ISTEXT($U107),ISTEXT($R107)),"Date à corriger",IF(AND($E107="",$Q107="Location",$S107&lt;&gt;"Oui"),"Rapport loueur à obtenir",IF(NOT(ISNUMBER($G107)),"Vérif. initiale à tracer",IF($H107&lt;0,"En retard",IF(AND($Q107="Location",$S107&lt;&gt;"Oui"),"Rapport loueur à obtenir",IF($H107&lt;='Tableau de bord'!$C$4,"À planifier","À jour"))))))))))))</f>
      </c>
      <c r="J107" s="22">
        <f>IF($A107="","",COUNTIFS(Réserves!$B$2:$B$301,$A107,Réserves!$J$2:$J$301,"Ouverte")+COUNTIFS(Réserves!$B$2:$B$301,$A107,Réserves!$J$2:$J$301,"En retard"))</f>
      </c>
      <c r="K107" s="20">
        <f>IF($C107="","",IFERROR(INDEX('Référentiel'!$B$2:$B$83,MATCH($C107,'Référentiel'!$A$2:$A$83,0)),"Type hors liste"))</f>
      </c>
      <c r="L107" s="22">
        <f>IF($C107="","",IF(IFERROR(INDEX('Référentiel'!$C$2:$C$83,MATCH($C107,'Référentiel'!$A$2:$A$83,0)),0)=0,"",IFERROR(INDEX('Référentiel'!$C$2:$C$83,MATCH($C107,'Référentiel'!$A$2:$A$83,0)),0)))</f>
      </c>
      <c r="M107" s="23"/>
      <c r="N107" s="22">
        <f>IF($C107="","",IF(IF($M107&lt;&gt;"",IF($L107&lt;&gt;"",MIN($L107,$M107),$M107),IF($L107&lt;&gt;"",$L107,IF(IFERROR(INDEX('Référentiel'!$D$2:$D$83,MATCH($C107,'Référentiel'!$A$2:$A$83,0)),0)&gt;0,IFERROR(INDEX('Référentiel'!$D$2:$D$83,MATCH($C107,'Référentiel'!$A$2:$A$83,0)),0),"")))="","",IF(AND(IFERROR(INDEX('Référentiel'!$F$2:$F$83,MATCH($C107,'Référentiel'!$A$2:$A$83,0)),0)&gt;0,N($J107)&gt;0),MIN(IF($M107&lt;&gt;"",IF($L107&lt;&gt;"",MIN($L107,$M107),$M107),IF($L107&lt;&gt;"",$L107,IF(IFERROR(INDEX('Référentiel'!$D$2:$D$83,MATCH($C107,'Référentiel'!$A$2:$A$83,0)),0)&gt;0,IFERROR(INDEX('Référentiel'!$D$2:$D$83,MATCH($C107,'Référentiel'!$A$2:$A$83,0)),0),""))),IFERROR(INDEX('Référentiel'!$F$2:$F$83,MATCH($C107,'Référentiel'!$A$2:$A$83,0)),0)),IF($M107&lt;&gt;"",IF($L107&lt;&gt;"",MIN($L107,$M107),$M107),IF($L107&lt;&gt;"",$L107,IF(IFERROR(INDEX('Référentiel'!$D$2:$D$83,MATCH($C107,'Référentiel'!$A$2:$A$83,0)),0)&gt;0,IFERROR(INDEX('Référentiel'!$D$2:$D$83,MATCH($C107,'Référentiel'!$A$2:$A$83,0)),0),""))))))</f>
      </c>
      <c r="O107" s="9"/>
      <c r="P107" s="23"/>
      <c r="Q107" s="9"/>
      <c r="R107" s="24"/>
      <c r="S107" s="23"/>
      <c r="T107" s="23"/>
      <c r="U107" s="24"/>
      <c r="V107" s="20">
        <f>IF($C107="","",IFERROR(INDEX('Référentiel'!$K$2:$K$83,MATCH($C107,'Référentiel'!$A$2:$A$83,0)),""))</f>
      </c>
      <c r="W107" s="20">
        <f>IF(AND(ISNUMBER($G107),$I107&lt;&gt;"Hors service",$I107&lt;&gt;"Location terminée"),$G107+ROW()/100000,"")</f>
      </c>
      <c r="X107" s="9"/>
    </row>
    <row r="108" spans="1:24" x14ac:dyDescent="0.25">
      <c r="A108" s="9"/>
      <c r="B108" s="9"/>
      <c r="C108" s="9"/>
      <c r="D108" s="9"/>
      <c r="E108" s="19">
        <f>IF($A108="","",IF(SUMPRODUCT(MAX((Vérifications!$B$2:$B$1001=$A108)*Vérifications!$L$2:$L$1001))=0,"",SUMPRODUCT(MAX((Vérifications!$B$2:$B$1001=$A108)*Vérifications!$L$2:$L$1001))))</f>
      </c>
      <c r="F108" s="20">
        <f>IF($E108="","",IFERROR(INDEX(Vérifications!$E$2:$E$1001,MATCH($A108&amp;"|"&amp;$E108,Vérifications!$M$2:$M$1001,0)),""))</f>
      </c>
      <c r="G108" s="19">
        <f>IF($N108="","",IF(ISNUMBER($E108),EDATE($E108,$N108),IF(AND(ISNUMBER($U108),IFERROR(INDEX('Référentiel'!$E$2:$E$83,MATCH($C108,'Référentiel'!$A$2:$A$83,0)),0)&gt;0),EDATE($U108,IFERROR(INDEX('Référentiel'!$E$2:$E$83,MATCH($C108,'Référentiel'!$A$2:$A$83,0)),0)),"")))</f>
      </c>
      <c r="H108" s="21">
        <f>IF(ISNUMBER($G108),$G108-TODAY(),"")</f>
      </c>
      <c r="I108" s="20">
        <f>IF(AND($A108="",$C108=""),"",IF($T108="Non","Hors service",IF(AND($Q108="Location",ISNUMBER($R108),$R108&lt;TODAY()),"Location terminée",IF(OR($F108="Mise à l'arrêt",IF($A108="",0,SUMPRODUCT((Réserves!$B$2:$B$301=$A108)*(Réserves!$E$2:$E$301="Mise à l'arrêt")*(Réserves!$J$2:$J$301&lt;&gt;"Levée")*(Réserves!$J$2:$J$301&lt;&gt;"")))&gt;0),"Arrêt : réserve à lever",IF($C108="","Type à choisir",IF($N108="","Périodicité à saisir",IF(OR(ISTEXT($U108),ISTEXT($R108)),"Date à corriger",IF(AND($E108="",$Q108="Location",$S108&lt;&gt;"Oui"),"Rapport loueur à obtenir",IF(NOT(ISNUMBER($G108)),"Vérif. initiale à tracer",IF($H108&lt;0,"En retard",IF(AND($Q108="Location",$S108&lt;&gt;"Oui"),"Rapport loueur à obtenir",IF($H108&lt;='Tableau de bord'!$C$4,"À planifier","À jour"))))))))))))</f>
      </c>
      <c r="J108" s="22">
        <f>IF($A108="","",COUNTIFS(Réserves!$B$2:$B$301,$A108,Réserves!$J$2:$J$301,"Ouverte")+COUNTIFS(Réserves!$B$2:$B$301,$A108,Réserves!$J$2:$J$301,"En retard"))</f>
      </c>
      <c r="K108" s="20">
        <f>IF($C108="","",IFERROR(INDEX('Référentiel'!$B$2:$B$83,MATCH($C108,'Référentiel'!$A$2:$A$83,0)),"Type hors liste"))</f>
      </c>
      <c r="L108" s="22">
        <f>IF($C108="","",IF(IFERROR(INDEX('Référentiel'!$C$2:$C$83,MATCH($C108,'Référentiel'!$A$2:$A$83,0)),0)=0,"",IFERROR(INDEX('Référentiel'!$C$2:$C$83,MATCH($C108,'Référentiel'!$A$2:$A$83,0)),0)))</f>
      </c>
      <c r="M108" s="23"/>
      <c r="N108" s="22">
        <f>IF($C108="","",IF(IF($M108&lt;&gt;"",IF($L108&lt;&gt;"",MIN($L108,$M108),$M108),IF($L108&lt;&gt;"",$L108,IF(IFERROR(INDEX('Référentiel'!$D$2:$D$83,MATCH($C108,'Référentiel'!$A$2:$A$83,0)),0)&gt;0,IFERROR(INDEX('Référentiel'!$D$2:$D$83,MATCH($C108,'Référentiel'!$A$2:$A$83,0)),0),"")))="","",IF(AND(IFERROR(INDEX('Référentiel'!$F$2:$F$83,MATCH($C108,'Référentiel'!$A$2:$A$83,0)),0)&gt;0,N($J108)&gt;0),MIN(IF($M108&lt;&gt;"",IF($L108&lt;&gt;"",MIN($L108,$M108),$M108),IF($L108&lt;&gt;"",$L108,IF(IFERROR(INDEX('Référentiel'!$D$2:$D$83,MATCH($C108,'Référentiel'!$A$2:$A$83,0)),0)&gt;0,IFERROR(INDEX('Référentiel'!$D$2:$D$83,MATCH($C108,'Référentiel'!$A$2:$A$83,0)),0),""))),IFERROR(INDEX('Référentiel'!$F$2:$F$83,MATCH($C108,'Référentiel'!$A$2:$A$83,0)),0)),IF($M108&lt;&gt;"",IF($L108&lt;&gt;"",MIN($L108,$M108),$M108),IF($L108&lt;&gt;"",$L108,IF(IFERROR(INDEX('Référentiel'!$D$2:$D$83,MATCH($C108,'Référentiel'!$A$2:$A$83,0)),0)&gt;0,IFERROR(INDEX('Référentiel'!$D$2:$D$83,MATCH($C108,'Référentiel'!$A$2:$A$83,0)),0),""))))))</f>
      </c>
      <c r="O108" s="9"/>
      <c r="P108" s="23"/>
      <c r="Q108" s="9"/>
      <c r="R108" s="24"/>
      <c r="S108" s="23"/>
      <c r="T108" s="23"/>
      <c r="U108" s="24"/>
      <c r="V108" s="20">
        <f>IF($C108="","",IFERROR(INDEX('Référentiel'!$K$2:$K$83,MATCH($C108,'Référentiel'!$A$2:$A$83,0)),""))</f>
      </c>
      <c r="W108" s="20">
        <f>IF(AND(ISNUMBER($G108),$I108&lt;&gt;"Hors service",$I108&lt;&gt;"Location terminée"),$G108+ROW()/100000,"")</f>
      </c>
      <c r="X108" s="9"/>
    </row>
    <row r="109" spans="1:24" x14ac:dyDescent="0.25">
      <c r="A109" s="9"/>
      <c r="B109" s="9"/>
      <c r="C109" s="9"/>
      <c r="D109" s="9"/>
      <c r="E109" s="19">
        <f>IF($A109="","",IF(SUMPRODUCT(MAX((Vérifications!$B$2:$B$1001=$A109)*Vérifications!$L$2:$L$1001))=0,"",SUMPRODUCT(MAX((Vérifications!$B$2:$B$1001=$A109)*Vérifications!$L$2:$L$1001))))</f>
      </c>
      <c r="F109" s="20">
        <f>IF($E109="","",IFERROR(INDEX(Vérifications!$E$2:$E$1001,MATCH($A109&amp;"|"&amp;$E109,Vérifications!$M$2:$M$1001,0)),""))</f>
      </c>
      <c r="G109" s="19">
        <f>IF($N109="","",IF(ISNUMBER($E109),EDATE($E109,$N109),IF(AND(ISNUMBER($U109),IFERROR(INDEX('Référentiel'!$E$2:$E$83,MATCH($C109,'Référentiel'!$A$2:$A$83,0)),0)&gt;0),EDATE($U109,IFERROR(INDEX('Référentiel'!$E$2:$E$83,MATCH($C109,'Référentiel'!$A$2:$A$83,0)),0)),"")))</f>
      </c>
      <c r="H109" s="21">
        <f>IF(ISNUMBER($G109),$G109-TODAY(),"")</f>
      </c>
      <c r="I109" s="20">
        <f>IF(AND($A109="",$C109=""),"",IF($T109="Non","Hors service",IF(AND($Q109="Location",ISNUMBER($R109),$R109&lt;TODAY()),"Location terminée",IF(OR($F109="Mise à l'arrêt",IF($A109="",0,SUMPRODUCT((Réserves!$B$2:$B$301=$A109)*(Réserves!$E$2:$E$301="Mise à l'arrêt")*(Réserves!$J$2:$J$301&lt;&gt;"Levée")*(Réserves!$J$2:$J$301&lt;&gt;"")))&gt;0),"Arrêt : réserve à lever",IF($C109="","Type à choisir",IF($N109="","Périodicité à saisir",IF(OR(ISTEXT($U109),ISTEXT($R109)),"Date à corriger",IF(AND($E109="",$Q109="Location",$S109&lt;&gt;"Oui"),"Rapport loueur à obtenir",IF(NOT(ISNUMBER($G109)),"Vérif. initiale à tracer",IF($H109&lt;0,"En retard",IF(AND($Q109="Location",$S109&lt;&gt;"Oui"),"Rapport loueur à obtenir",IF($H109&lt;='Tableau de bord'!$C$4,"À planifier","À jour"))))))))))))</f>
      </c>
      <c r="J109" s="22">
        <f>IF($A109="","",COUNTIFS(Réserves!$B$2:$B$301,$A109,Réserves!$J$2:$J$301,"Ouverte")+COUNTIFS(Réserves!$B$2:$B$301,$A109,Réserves!$J$2:$J$301,"En retard"))</f>
      </c>
      <c r="K109" s="20">
        <f>IF($C109="","",IFERROR(INDEX('Référentiel'!$B$2:$B$83,MATCH($C109,'Référentiel'!$A$2:$A$83,0)),"Type hors liste"))</f>
      </c>
      <c r="L109" s="22">
        <f>IF($C109="","",IF(IFERROR(INDEX('Référentiel'!$C$2:$C$83,MATCH($C109,'Référentiel'!$A$2:$A$83,0)),0)=0,"",IFERROR(INDEX('Référentiel'!$C$2:$C$83,MATCH($C109,'Référentiel'!$A$2:$A$83,0)),0)))</f>
      </c>
      <c r="M109" s="23"/>
      <c r="N109" s="22">
        <f>IF($C109="","",IF(IF($M109&lt;&gt;"",IF($L109&lt;&gt;"",MIN($L109,$M109),$M109),IF($L109&lt;&gt;"",$L109,IF(IFERROR(INDEX('Référentiel'!$D$2:$D$83,MATCH($C109,'Référentiel'!$A$2:$A$83,0)),0)&gt;0,IFERROR(INDEX('Référentiel'!$D$2:$D$83,MATCH($C109,'Référentiel'!$A$2:$A$83,0)),0),"")))="","",IF(AND(IFERROR(INDEX('Référentiel'!$F$2:$F$83,MATCH($C109,'Référentiel'!$A$2:$A$83,0)),0)&gt;0,N($J109)&gt;0),MIN(IF($M109&lt;&gt;"",IF($L109&lt;&gt;"",MIN($L109,$M109),$M109),IF($L109&lt;&gt;"",$L109,IF(IFERROR(INDEX('Référentiel'!$D$2:$D$83,MATCH($C109,'Référentiel'!$A$2:$A$83,0)),0)&gt;0,IFERROR(INDEX('Référentiel'!$D$2:$D$83,MATCH($C109,'Référentiel'!$A$2:$A$83,0)),0),""))),IFERROR(INDEX('Référentiel'!$F$2:$F$83,MATCH($C109,'Référentiel'!$A$2:$A$83,0)),0)),IF($M109&lt;&gt;"",IF($L109&lt;&gt;"",MIN($L109,$M109),$M109),IF($L109&lt;&gt;"",$L109,IF(IFERROR(INDEX('Référentiel'!$D$2:$D$83,MATCH($C109,'Référentiel'!$A$2:$A$83,0)),0)&gt;0,IFERROR(INDEX('Référentiel'!$D$2:$D$83,MATCH($C109,'Référentiel'!$A$2:$A$83,0)),0),""))))))</f>
      </c>
      <c r="O109" s="9"/>
      <c r="P109" s="23"/>
      <c r="Q109" s="9"/>
      <c r="R109" s="24"/>
      <c r="S109" s="23"/>
      <c r="T109" s="23"/>
      <c r="U109" s="24"/>
      <c r="V109" s="20">
        <f>IF($C109="","",IFERROR(INDEX('Référentiel'!$K$2:$K$83,MATCH($C109,'Référentiel'!$A$2:$A$83,0)),""))</f>
      </c>
      <c r="W109" s="20">
        <f>IF(AND(ISNUMBER($G109),$I109&lt;&gt;"Hors service",$I109&lt;&gt;"Location terminée"),$G109+ROW()/100000,"")</f>
      </c>
      <c r="X109" s="9"/>
    </row>
    <row r="110" spans="1:24" x14ac:dyDescent="0.25">
      <c r="A110" s="9"/>
      <c r="B110" s="9"/>
      <c r="C110" s="9"/>
      <c r="D110" s="9"/>
      <c r="E110" s="19">
        <f>IF($A110="","",IF(SUMPRODUCT(MAX((Vérifications!$B$2:$B$1001=$A110)*Vérifications!$L$2:$L$1001))=0,"",SUMPRODUCT(MAX((Vérifications!$B$2:$B$1001=$A110)*Vérifications!$L$2:$L$1001))))</f>
      </c>
      <c r="F110" s="20">
        <f>IF($E110="","",IFERROR(INDEX(Vérifications!$E$2:$E$1001,MATCH($A110&amp;"|"&amp;$E110,Vérifications!$M$2:$M$1001,0)),""))</f>
      </c>
      <c r="G110" s="19">
        <f>IF($N110="","",IF(ISNUMBER($E110),EDATE($E110,$N110),IF(AND(ISNUMBER($U110),IFERROR(INDEX('Référentiel'!$E$2:$E$83,MATCH($C110,'Référentiel'!$A$2:$A$83,0)),0)&gt;0),EDATE($U110,IFERROR(INDEX('Référentiel'!$E$2:$E$83,MATCH($C110,'Référentiel'!$A$2:$A$83,0)),0)),"")))</f>
      </c>
      <c r="H110" s="21">
        <f>IF(ISNUMBER($G110),$G110-TODAY(),"")</f>
      </c>
      <c r="I110" s="20">
        <f>IF(AND($A110="",$C110=""),"",IF($T110="Non","Hors service",IF(AND($Q110="Location",ISNUMBER($R110),$R110&lt;TODAY()),"Location terminée",IF(OR($F110="Mise à l'arrêt",IF($A110="",0,SUMPRODUCT((Réserves!$B$2:$B$301=$A110)*(Réserves!$E$2:$E$301="Mise à l'arrêt")*(Réserves!$J$2:$J$301&lt;&gt;"Levée")*(Réserves!$J$2:$J$301&lt;&gt;"")))&gt;0),"Arrêt : réserve à lever",IF($C110="","Type à choisir",IF($N110="","Périodicité à saisir",IF(OR(ISTEXT($U110),ISTEXT($R110)),"Date à corriger",IF(AND($E110="",$Q110="Location",$S110&lt;&gt;"Oui"),"Rapport loueur à obtenir",IF(NOT(ISNUMBER($G110)),"Vérif. initiale à tracer",IF($H110&lt;0,"En retard",IF(AND($Q110="Location",$S110&lt;&gt;"Oui"),"Rapport loueur à obtenir",IF($H110&lt;='Tableau de bord'!$C$4,"À planifier","À jour"))))))))))))</f>
      </c>
      <c r="J110" s="22">
        <f>IF($A110="","",COUNTIFS(Réserves!$B$2:$B$301,$A110,Réserves!$J$2:$J$301,"Ouverte")+COUNTIFS(Réserves!$B$2:$B$301,$A110,Réserves!$J$2:$J$301,"En retard"))</f>
      </c>
      <c r="K110" s="20">
        <f>IF($C110="","",IFERROR(INDEX('Référentiel'!$B$2:$B$83,MATCH($C110,'Référentiel'!$A$2:$A$83,0)),"Type hors liste"))</f>
      </c>
      <c r="L110" s="22">
        <f>IF($C110="","",IF(IFERROR(INDEX('Référentiel'!$C$2:$C$83,MATCH($C110,'Référentiel'!$A$2:$A$83,0)),0)=0,"",IFERROR(INDEX('Référentiel'!$C$2:$C$83,MATCH($C110,'Référentiel'!$A$2:$A$83,0)),0)))</f>
      </c>
      <c r="M110" s="23"/>
      <c r="N110" s="22">
        <f>IF($C110="","",IF(IF($M110&lt;&gt;"",IF($L110&lt;&gt;"",MIN($L110,$M110),$M110),IF($L110&lt;&gt;"",$L110,IF(IFERROR(INDEX('Référentiel'!$D$2:$D$83,MATCH($C110,'Référentiel'!$A$2:$A$83,0)),0)&gt;0,IFERROR(INDEX('Référentiel'!$D$2:$D$83,MATCH($C110,'Référentiel'!$A$2:$A$83,0)),0),"")))="","",IF(AND(IFERROR(INDEX('Référentiel'!$F$2:$F$83,MATCH($C110,'Référentiel'!$A$2:$A$83,0)),0)&gt;0,N($J110)&gt;0),MIN(IF($M110&lt;&gt;"",IF($L110&lt;&gt;"",MIN($L110,$M110),$M110),IF($L110&lt;&gt;"",$L110,IF(IFERROR(INDEX('Référentiel'!$D$2:$D$83,MATCH($C110,'Référentiel'!$A$2:$A$83,0)),0)&gt;0,IFERROR(INDEX('Référentiel'!$D$2:$D$83,MATCH($C110,'Référentiel'!$A$2:$A$83,0)),0),""))),IFERROR(INDEX('Référentiel'!$F$2:$F$83,MATCH($C110,'Référentiel'!$A$2:$A$83,0)),0)),IF($M110&lt;&gt;"",IF($L110&lt;&gt;"",MIN($L110,$M110),$M110),IF($L110&lt;&gt;"",$L110,IF(IFERROR(INDEX('Référentiel'!$D$2:$D$83,MATCH($C110,'Référentiel'!$A$2:$A$83,0)),0)&gt;0,IFERROR(INDEX('Référentiel'!$D$2:$D$83,MATCH($C110,'Référentiel'!$A$2:$A$83,0)),0),""))))))</f>
      </c>
      <c r="O110" s="9"/>
      <c r="P110" s="23"/>
      <c r="Q110" s="9"/>
      <c r="R110" s="24"/>
      <c r="S110" s="23"/>
      <c r="T110" s="23"/>
      <c r="U110" s="24"/>
      <c r="V110" s="20">
        <f>IF($C110="","",IFERROR(INDEX('Référentiel'!$K$2:$K$83,MATCH($C110,'Référentiel'!$A$2:$A$83,0)),""))</f>
      </c>
      <c r="W110" s="20">
        <f>IF(AND(ISNUMBER($G110),$I110&lt;&gt;"Hors service",$I110&lt;&gt;"Location terminée"),$G110+ROW()/100000,"")</f>
      </c>
      <c r="X110" s="9"/>
    </row>
    <row r="111" spans="1:24" x14ac:dyDescent="0.25">
      <c r="A111" s="9"/>
      <c r="B111" s="9"/>
      <c r="C111" s="9"/>
      <c r="D111" s="9"/>
      <c r="E111" s="19">
        <f>IF($A111="","",IF(SUMPRODUCT(MAX((Vérifications!$B$2:$B$1001=$A111)*Vérifications!$L$2:$L$1001))=0,"",SUMPRODUCT(MAX((Vérifications!$B$2:$B$1001=$A111)*Vérifications!$L$2:$L$1001))))</f>
      </c>
      <c r="F111" s="20">
        <f>IF($E111="","",IFERROR(INDEX(Vérifications!$E$2:$E$1001,MATCH($A111&amp;"|"&amp;$E111,Vérifications!$M$2:$M$1001,0)),""))</f>
      </c>
      <c r="G111" s="19">
        <f>IF($N111="","",IF(ISNUMBER($E111),EDATE($E111,$N111),IF(AND(ISNUMBER($U111),IFERROR(INDEX('Référentiel'!$E$2:$E$83,MATCH($C111,'Référentiel'!$A$2:$A$83,0)),0)&gt;0),EDATE($U111,IFERROR(INDEX('Référentiel'!$E$2:$E$83,MATCH($C111,'Référentiel'!$A$2:$A$83,0)),0)),"")))</f>
      </c>
      <c r="H111" s="21">
        <f>IF(ISNUMBER($G111),$G111-TODAY(),"")</f>
      </c>
      <c r="I111" s="20">
        <f>IF(AND($A111="",$C111=""),"",IF($T111="Non","Hors service",IF(AND($Q111="Location",ISNUMBER($R111),$R111&lt;TODAY()),"Location terminée",IF(OR($F111="Mise à l'arrêt",IF($A111="",0,SUMPRODUCT((Réserves!$B$2:$B$301=$A111)*(Réserves!$E$2:$E$301="Mise à l'arrêt")*(Réserves!$J$2:$J$301&lt;&gt;"Levée")*(Réserves!$J$2:$J$301&lt;&gt;"")))&gt;0),"Arrêt : réserve à lever",IF($C111="","Type à choisir",IF($N111="","Périodicité à saisir",IF(OR(ISTEXT($U111),ISTEXT($R111)),"Date à corriger",IF(AND($E111="",$Q111="Location",$S111&lt;&gt;"Oui"),"Rapport loueur à obtenir",IF(NOT(ISNUMBER($G111)),"Vérif. initiale à tracer",IF($H111&lt;0,"En retard",IF(AND($Q111="Location",$S111&lt;&gt;"Oui"),"Rapport loueur à obtenir",IF($H111&lt;='Tableau de bord'!$C$4,"À planifier","À jour"))))))))))))</f>
      </c>
      <c r="J111" s="22">
        <f>IF($A111="","",COUNTIFS(Réserves!$B$2:$B$301,$A111,Réserves!$J$2:$J$301,"Ouverte")+COUNTIFS(Réserves!$B$2:$B$301,$A111,Réserves!$J$2:$J$301,"En retard"))</f>
      </c>
      <c r="K111" s="20">
        <f>IF($C111="","",IFERROR(INDEX('Référentiel'!$B$2:$B$83,MATCH($C111,'Référentiel'!$A$2:$A$83,0)),"Type hors liste"))</f>
      </c>
      <c r="L111" s="22">
        <f>IF($C111="","",IF(IFERROR(INDEX('Référentiel'!$C$2:$C$83,MATCH($C111,'Référentiel'!$A$2:$A$83,0)),0)=0,"",IFERROR(INDEX('Référentiel'!$C$2:$C$83,MATCH($C111,'Référentiel'!$A$2:$A$83,0)),0)))</f>
      </c>
      <c r="M111" s="23"/>
      <c r="N111" s="22">
        <f>IF($C111="","",IF(IF($M111&lt;&gt;"",IF($L111&lt;&gt;"",MIN($L111,$M111),$M111),IF($L111&lt;&gt;"",$L111,IF(IFERROR(INDEX('Référentiel'!$D$2:$D$83,MATCH($C111,'Référentiel'!$A$2:$A$83,0)),0)&gt;0,IFERROR(INDEX('Référentiel'!$D$2:$D$83,MATCH($C111,'Référentiel'!$A$2:$A$83,0)),0),"")))="","",IF(AND(IFERROR(INDEX('Référentiel'!$F$2:$F$83,MATCH($C111,'Référentiel'!$A$2:$A$83,0)),0)&gt;0,N($J111)&gt;0),MIN(IF($M111&lt;&gt;"",IF($L111&lt;&gt;"",MIN($L111,$M111),$M111),IF($L111&lt;&gt;"",$L111,IF(IFERROR(INDEX('Référentiel'!$D$2:$D$83,MATCH($C111,'Référentiel'!$A$2:$A$83,0)),0)&gt;0,IFERROR(INDEX('Référentiel'!$D$2:$D$83,MATCH($C111,'Référentiel'!$A$2:$A$83,0)),0),""))),IFERROR(INDEX('Référentiel'!$F$2:$F$83,MATCH($C111,'Référentiel'!$A$2:$A$83,0)),0)),IF($M111&lt;&gt;"",IF($L111&lt;&gt;"",MIN($L111,$M111),$M111),IF($L111&lt;&gt;"",$L111,IF(IFERROR(INDEX('Référentiel'!$D$2:$D$83,MATCH($C111,'Référentiel'!$A$2:$A$83,0)),0)&gt;0,IFERROR(INDEX('Référentiel'!$D$2:$D$83,MATCH($C111,'Référentiel'!$A$2:$A$83,0)),0),""))))))</f>
      </c>
      <c r="O111" s="9"/>
      <c r="P111" s="23"/>
      <c r="Q111" s="9"/>
      <c r="R111" s="24"/>
      <c r="S111" s="23"/>
      <c r="T111" s="23"/>
      <c r="U111" s="24"/>
      <c r="V111" s="20">
        <f>IF($C111="","",IFERROR(INDEX('Référentiel'!$K$2:$K$83,MATCH($C111,'Référentiel'!$A$2:$A$83,0)),""))</f>
      </c>
      <c r="W111" s="20">
        <f>IF(AND(ISNUMBER($G111),$I111&lt;&gt;"Hors service",$I111&lt;&gt;"Location terminée"),$G111+ROW()/100000,"")</f>
      </c>
      <c r="X111" s="9"/>
    </row>
    <row r="112" spans="1:24" x14ac:dyDescent="0.25">
      <c r="A112" s="9"/>
      <c r="B112" s="9"/>
      <c r="C112" s="9"/>
      <c r="D112" s="9"/>
      <c r="E112" s="19">
        <f>IF($A112="","",IF(SUMPRODUCT(MAX((Vérifications!$B$2:$B$1001=$A112)*Vérifications!$L$2:$L$1001))=0,"",SUMPRODUCT(MAX((Vérifications!$B$2:$B$1001=$A112)*Vérifications!$L$2:$L$1001))))</f>
      </c>
      <c r="F112" s="20">
        <f>IF($E112="","",IFERROR(INDEX(Vérifications!$E$2:$E$1001,MATCH($A112&amp;"|"&amp;$E112,Vérifications!$M$2:$M$1001,0)),""))</f>
      </c>
      <c r="G112" s="19">
        <f>IF($N112="","",IF(ISNUMBER($E112),EDATE($E112,$N112),IF(AND(ISNUMBER($U112),IFERROR(INDEX('Référentiel'!$E$2:$E$83,MATCH($C112,'Référentiel'!$A$2:$A$83,0)),0)&gt;0),EDATE($U112,IFERROR(INDEX('Référentiel'!$E$2:$E$83,MATCH($C112,'Référentiel'!$A$2:$A$83,0)),0)),"")))</f>
      </c>
      <c r="H112" s="21">
        <f>IF(ISNUMBER($G112),$G112-TODAY(),"")</f>
      </c>
      <c r="I112" s="20">
        <f>IF(AND($A112="",$C112=""),"",IF($T112="Non","Hors service",IF(AND($Q112="Location",ISNUMBER($R112),$R112&lt;TODAY()),"Location terminée",IF(OR($F112="Mise à l'arrêt",IF($A112="",0,SUMPRODUCT((Réserves!$B$2:$B$301=$A112)*(Réserves!$E$2:$E$301="Mise à l'arrêt")*(Réserves!$J$2:$J$301&lt;&gt;"Levée")*(Réserves!$J$2:$J$301&lt;&gt;"")))&gt;0),"Arrêt : réserve à lever",IF($C112="","Type à choisir",IF($N112="","Périodicité à saisir",IF(OR(ISTEXT($U112),ISTEXT($R112)),"Date à corriger",IF(AND($E112="",$Q112="Location",$S112&lt;&gt;"Oui"),"Rapport loueur à obtenir",IF(NOT(ISNUMBER($G112)),"Vérif. initiale à tracer",IF($H112&lt;0,"En retard",IF(AND($Q112="Location",$S112&lt;&gt;"Oui"),"Rapport loueur à obtenir",IF($H112&lt;='Tableau de bord'!$C$4,"À planifier","À jour"))))))))))))</f>
      </c>
      <c r="J112" s="22">
        <f>IF($A112="","",COUNTIFS(Réserves!$B$2:$B$301,$A112,Réserves!$J$2:$J$301,"Ouverte")+COUNTIFS(Réserves!$B$2:$B$301,$A112,Réserves!$J$2:$J$301,"En retard"))</f>
      </c>
      <c r="K112" s="20">
        <f>IF($C112="","",IFERROR(INDEX('Référentiel'!$B$2:$B$83,MATCH($C112,'Référentiel'!$A$2:$A$83,0)),"Type hors liste"))</f>
      </c>
      <c r="L112" s="22">
        <f>IF($C112="","",IF(IFERROR(INDEX('Référentiel'!$C$2:$C$83,MATCH($C112,'Référentiel'!$A$2:$A$83,0)),0)=0,"",IFERROR(INDEX('Référentiel'!$C$2:$C$83,MATCH($C112,'Référentiel'!$A$2:$A$83,0)),0)))</f>
      </c>
      <c r="M112" s="23"/>
      <c r="N112" s="22">
        <f>IF($C112="","",IF(IF($M112&lt;&gt;"",IF($L112&lt;&gt;"",MIN($L112,$M112),$M112),IF($L112&lt;&gt;"",$L112,IF(IFERROR(INDEX('Référentiel'!$D$2:$D$83,MATCH($C112,'Référentiel'!$A$2:$A$83,0)),0)&gt;0,IFERROR(INDEX('Référentiel'!$D$2:$D$83,MATCH($C112,'Référentiel'!$A$2:$A$83,0)),0),"")))="","",IF(AND(IFERROR(INDEX('Référentiel'!$F$2:$F$83,MATCH($C112,'Référentiel'!$A$2:$A$83,0)),0)&gt;0,N($J112)&gt;0),MIN(IF($M112&lt;&gt;"",IF($L112&lt;&gt;"",MIN($L112,$M112),$M112),IF($L112&lt;&gt;"",$L112,IF(IFERROR(INDEX('Référentiel'!$D$2:$D$83,MATCH($C112,'Référentiel'!$A$2:$A$83,0)),0)&gt;0,IFERROR(INDEX('Référentiel'!$D$2:$D$83,MATCH($C112,'Référentiel'!$A$2:$A$83,0)),0),""))),IFERROR(INDEX('Référentiel'!$F$2:$F$83,MATCH($C112,'Référentiel'!$A$2:$A$83,0)),0)),IF($M112&lt;&gt;"",IF($L112&lt;&gt;"",MIN($L112,$M112),$M112),IF($L112&lt;&gt;"",$L112,IF(IFERROR(INDEX('Référentiel'!$D$2:$D$83,MATCH($C112,'Référentiel'!$A$2:$A$83,0)),0)&gt;0,IFERROR(INDEX('Référentiel'!$D$2:$D$83,MATCH($C112,'Référentiel'!$A$2:$A$83,0)),0),""))))))</f>
      </c>
      <c r="O112" s="9"/>
      <c r="P112" s="23"/>
      <c r="Q112" s="9"/>
      <c r="R112" s="24"/>
      <c r="S112" s="23"/>
      <c r="T112" s="23"/>
      <c r="U112" s="24"/>
      <c r="V112" s="20">
        <f>IF($C112="","",IFERROR(INDEX('Référentiel'!$K$2:$K$83,MATCH($C112,'Référentiel'!$A$2:$A$83,0)),""))</f>
      </c>
      <c r="W112" s="20">
        <f>IF(AND(ISNUMBER($G112),$I112&lt;&gt;"Hors service",$I112&lt;&gt;"Location terminée"),$G112+ROW()/100000,"")</f>
      </c>
      <c r="X112" s="9"/>
    </row>
    <row r="113" spans="1:24" x14ac:dyDescent="0.25">
      <c r="A113" s="9"/>
      <c r="B113" s="9"/>
      <c r="C113" s="9"/>
      <c r="D113" s="9"/>
      <c r="E113" s="19">
        <f>IF($A113="","",IF(SUMPRODUCT(MAX((Vérifications!$B$2:$B$1001=$A113)*Vérifications!$L$2:$L$1001))=0,"",SUMPRODUCT(MAX((Vérifications!$B$2:$B$1001=$A113)*Vérifications!$L$2:$L$1001))))</f>
      </c>
      <c r="F113" s="20">
        <f>IF($E113="","",IFERROR(INDEX(Vérifications!$E$2:$E$1001,MATCH($A113&amp;"|"&amp;$E113,Vérifications!$M$2:$M$1001,0)),""))</f>
      </c>
      <c r="G113" s="19">
        <f>IF($N113="","",IF(ISNUMBER($E113),EDATE($E113,$N113),IF(AND(ISNUMBER($U113),IFERROR(INDEX('Référentiel'!$E$2:$E$83,MATCH($C113,'Référentiel'!$A$2:$A$83,0)),0)&gt;0),EDATE($U113,IFERROR(INDEX('Référentiel'!$E$2:$E$83,MATCH($C113,'Référentiel'!$A$2:$A$83,0)),0)),"")))</f>
      </c>
      <c r="H113" s="21">
        <f>IF(ISNUMBER($G113),$G113-TODAY(),"")</f>
      </c>
      <c r="I113" s="20">
        <f>IF(AND($A113="",$C113=""),"",IF($T113="Non","Hors service",IF(AND($Q113="Location",ISNUMBER($R113),$R113&lt;TODAY()),"Location terminée",IF(OR($F113="Mise à l'arrêt",IF($A113="",0,SUMPRODUCT((Réserves!$B$2:$B$301=$A113)*(Réserves!$E$2:$E$301="Mise à l'arrêt")*(Réserves!$J$2:$J$301&lt;&gt;"Levée")*(Réserves!$J$2:$J$301&lt;&gt;"")))&gt;0),"Arrêt : réserve à lever",IF($C113="","Type à choisir",IF($N113="","Périodicité à saisir",IF(OR(ISTEXT($U113),ISTEXT($R113)),"Date à corriger",IF(AND($E113="",$Q113="Location",$S113&lt;&gt;"Oui"),"Rapport loueur à obtenir",IF(NOT(ISNUMBER($G113)),"Vérif. initiale à tracer",IF($H113&lt;0,"En retard",IF(AND($Q113="Location",$S113&lt;&gt;"Oui"),"Rapport loueur à obtenir",IF($H113&lt;='Tableau de bord'!$C$4,"À planifier","À jour"))))))))))))</f>
      </c>
      <c r="J113" s="22">
        <f>IF($A113="","",COUNTIFS(Réserves!$B$2:$B$301,$A113,Réserves!$J$2:$J$301,"Ouverte")+COUNTIFS(Réserves!$B$2:$B$301,$A113,Réserves!$J$2:$J$301,"En retard"))</f>
      </c>
      <c r="K113" s="20">
        <f>IF($C113="","",IFERROR(INDEX('Référentiel'!$B$2:$B$83,MATCH($C113,'Référentiel'!$A$2:$A$83,0)),"Type hors liste"))</f>
      </c>
      <c r="L113" s="22">
        <f>IF($C113="","",IF(IFERROR(INDEX('Référentiel'!$C$2:$C$83,MATCH($C113,'Référentiel'!$A$2:$A$83,0)),0)=0,"",IFERROR(INDEX('Référentiel'!$C$2:$C$83,MATCH($C113,'Référentiel'!$A$2:$A$83,0)),0)))</f>
      </c>
      <c r="M113" s="23"/>
      <c r="N113" s="22">
        <f>IF($C113="","",IF(IF($M113&lt;&gt;"",IF($L113&lt;&gt;"",MIN($L113,$M113),$M113),IF($L113&lt;&gt;"",$L113,IF(IFERROR(INDEX('Référentiel'!$D$2:$D$83,MATCH($C113,'Référentiel'!$A$2:$A$83,0)),0)&gt;0,IFERROR(INDEX('Référentiel'!$D$2:$D$83,MATCH($C113,'Référentiel'!$A$2:$A$83,0)),0),"")))="","",IF(AND(IFERROR(INDEX('Référentiel'!$F$2:$F$83,MATCH($C113,'Référentiel'!$A$2:$A$83,0)),0)&gt;0,N($J113)&gt;0),MIN(IF($M113&lt;&gt;"",IF($L113&lt;&gt;"",MIN($L113,$M113),$M113),IF($L113&lt;&gt;"",$L113,IF(IFERROR(INDEX('Référentiel'!$D$2:$D$83,MATCH($C113,'Référentiel'!$A$2:$A$83,0)),0)&gt;0,IFERROR(INDEX('Référentiel'!$D$2:$D$83,MATCH($C113,'Référentiel'!$A$2:$A$83,0)),0),""))),IFERROR(INDEX('Référentiel'!$F$2:$F$83,MATCH($C113,'Référentiel'!$A$2:$A$83,0)),0)),IF($M113&lt;&gt;"",IF($L113&lt;&gt;"",MIN($L113,$M113),$M113),IF($L113&lt;&gt;"",$L113,IF(IFERROR(INDEX('Référentiel'!$D$2:$D$83,MATCH($C113,'Référentiel'!$A$2:$A$83,0)),0)&gt;0,IFERROR(INDEX('Référentiel'!$D$2:$D$83,MATCH($C113,'Référentiel'!$A$2:$A$83,0)),0),""))))))</f>
      </c>
      <c r="O113" s="9"/>
      <c r="P113" s="23"/>
      <c r="Q113" s="9"/>
      <c r="R113" s="24"/>
      <c r="S113" s="23"/>
      <c r="T113" s="23"/>
      <c r="U113" s="24"/>
      <c r="V113" s="20">
        <f>IF($C113="","",IFERROR(INDEX('Référentiel'!$K$2:$K$83,MATCH($C113,'Référentiel'!$A$2:$A$83,0)),""))</f>
      </c>
      <c r="W113" s="20">
        <f>IF(AND(ISNUMBER($G113),$I113&lt;&gt;"Hors service",$I113&lt;&gt;"Location terminée"),$G113+ROW()/100000,"")</f>
      </c>
      <c r="X113" s="9"/>
    </row>
    <row r="114" spans="1:24" x14ac:dyDescent="0.25">
      <c r="A114" s="9"/>
      <c r="B114" s="9"/>
      <c r="C114" s="9"/>
      <c r="D114" s="9"/>
      <c r="E114" s="19">
        <f>IF($A114="","",IF(SUMPRODUCT(MAX((Vérifications!$B$2:$B$1001=$A114)*Vérifications!$L$2:$L$1001))=0,"",SUMPRODUCT(MAX((Vérifications!$B$2:$B$1001=$A114)*Vérifications!$L$2:$L$1001))))</f>
      </c>
      <c r="F114" s="20">
        <f>IF($E114="","",IFERROR(INDEX(Vérifications!$E$2:$E$1001,MATCH($A114&amp;"|"&amp;$E114,Vérifications!$M$2:$M$1001,0)),""))</f>
      </c>
      <c r="G114" s="19">
        <f>IF($N114="","",IF(ISNUMBER($E114),EDATE($E114,$N114),IF(AND(ISNUMBER($U114),IFERROR(INDEX('Référentiel'!$E$2:$E$83,MATCH($C114,'Référentiel'!$A$2:$A$83,0)),0)&gt;0),EDATE($U114,IFERROR(INDEX('Référentiel'!$E$2:$E$83,MATCH($C114,'Référentiel'!$A$2:$A$83,0)),0)),"")))</f>
      </c>
      <c r="H114" s="21">
        <f>IF(ISNUMBER($G114),$G114-TODAY(),"")</f>
      </c>
      <c r="I114" s="20">
        <f>IF(AND($A114="",$C114=""),"",IF($T114="Non","Hors service",IF(AND($Q114="Location",ISNUMBER($R114),$R114&lt;TODAY()),"Location terminée",IF(OR($F114="Mise à l'arrêt",IF($A114="",0,SUMPRODUCT((Réserves!$B$2:$B$301=$A114)*(Réserves!$E$2:$E$301="Mise à l'arrêt")*(Réserves!$J$2:$J$301&lt;&gt;"Levée")*(Réserves!$J$2:$J$301&lt;&gt;"")))&gt;0),"Arrêt : réserve à lever",IF($C114="","Type à choisir",IF($N114="","Périodicité à saisir",IF(OR(ISTEXT($U114),ISTEXT($R114)),"Date à corriger",IF(AND($E114="",$Q114="Location",$S114&lt;&gt;"Oui"),"Rapport loueur à obtenir",IF(NOT(ISNUMBER($G114)),"Vérif. initiale à tracer",IF($H114&lt;0,"En retard",IF(AND($Q114="Location",$S114&lt;&gt;"Oui"),"Rapport loueur à obtenir",IF($H114&lt;='Tableau de bord'!$C$4,"À planifier","À jour"))))))))))))</f>
      </c>
      <c r="J114" s="22">
        <f>IF($A114="","",COUNTIFS(Réserves!$B$2:$B$301,$A114,Réserves!$J$2:$J$301,"Ouverte")+COUNTIFS(Réserves!$B$2:$B$301,$A114,Réserves!$J$2:$J$301,"En retard"))</f>
      </c>
      <c r="K114" s="20">
        <f>IF($C114="","",IFERROR(INDEX('Référentiel'!$B$2:$B$83,MATCH($C114,'Référentiel'!$A$2:$A$83,0)),"Type hors liste"))</f>
      </c>
      <c r="L114" s="22">
        <f>IF($C114="","",IF(IFERROR(INDEX('Référentiel'!$C$2:$C$83,MATCH($C114,'Référentiel'!$A$2:$A$83,0)),0)=0,"",IFERROR(INDEX('Référentiel'!$C$2:$C$83,MATCH($C114,'Référentiel'!$A$2:$A$83,0)),0)))</f>
      </c>
      <c r="M114" s="23"/>
      <c r="N114" s="22">
        <f>IF($C114="","",IF(IF($M114&lt;&gt;"",IF($L114&lt;&gt;"",MIN($L114,$M114),$M114),IF($L114&lt;&gt;"",$L114,IF(IFERROR(INDEX('Référentiel'!$D$2:$D$83,MATCH($C114,'Référentiel'!$A$2:$A$83,0)),0)&gt;0,IFERROR(INDEX('Référentiel'!$D$2:$D$83,MATCH($C114,'Référentiel'!$A$2:$A$83,0)),0),"")))="","",IF(AND(IFERROR(INDEX('Référentiel'!$F$2:$F$83,MATCH($C114,'Référentiel'!$A$2:$A$83,0)),0)&gt;0,N($J114)&gt;0),MIN(IF($M114&lt;&gt;"",IF($L114&lt;&gt;"",MIN($L114,$M114),$M114),IF($L114&lt;&gt;"",$L114,IF(IFERROR(INDEX('Référentiel'!$D$2:$D$83,MATCH($C114,'Référentiel'!$A$2:$A$83,0)),0)&gt;0,IFERROR(INDEX('Référentiel'!$D$2:$D$83,MATCH($C114,'Référentiel'!$A$2:$A$83,0)),0),""))),IFERROR(INDEX('Référentiel'!$F$2:$F$83,MATCH($C114,'Référentiel'!$A$2:$A$83,0)),0)),IF($M114&lt;&gt;"",IF($L114&lt;&gt;"",MIN($L114,$M114),$M114),IF($L114&lt;&gt;"",$L114,IF(IFERROR(INDEX('Référentiel'!$D$2:$D$83,MATCH($C114,'Référentiel'!$A$2:$A$83,0)),0)&gt;0,IFERROR(INDEX('Référentiel'!$D$2:$D$83,MATCH($C114,'Référentiel'!$A$2:$A$83,0)),0),""))))))</f>
      </c>
      <c r="O114" s="9"/>
      <c r="P114" s="23"/>
      <c r="Q114" s="9"/>
      <c r="R114" s="24"/>
      <c r="S114" s="23"/>
      <c r="T114" s="23"/>
      <c r="U114" s="24"/>
      <c r="V114" s="20">
        <f>IF($C114="","",IFERROR(INDEX('Référentiel'!$K$2:$K$83,MATCH($C114,'Référentiel'!$A$2:$A$83,0)),""))</f>
      </c>
      <c r="W114" s="20">
        <f>IF(AND(ISNUMBER($G114),$I114&lt;&gt;"Hors service",$I114&lt;&gt;"Location terminée"),$G114+ROW()/100000,"")</f>
      </c>
      <c r="X114" s="9"/>
    </row>
    <row r="115" spans="1:24" x14ac:dyDescent="0.25">
      <c r="A115" s="9"/>
      <c r="B115" s="9"/>
      <c r="C115" s="9"/>
      <c r="D115" s="9"/>
      <c r="E115" s="19">
        <f>IF($A115="","",IF(SUMPRODUCT(MAX((Vérifications!$B$2:$B$1001=$A115)*Vérifications!$L$2:$L$1001))=0,"",SUMPRODUCT(MAX((Vérifications!$B$2:$B$1001=$A115)*Vérifications!$L$2:$L$1001))))</f>
      </c>
      <c r="F115" s="20">
        <f>IF($E115="","",IFERROR(INDEX(Vérifications!$E$2:$E$1001,MATCH($A115&amp;"|"&amp;$E115,Vérifications!$M$2:$M$1001,0)),""))</f>
      </c>
      <c r="G115" s="19">
        <f>IF($N115="","",IF(ISNUMBER($E115),EDATE($E115,$N115),IF(AND(ISNUMBER($U115),IFERROR(INDEX('Référentiel'!$E$2:$E$83,MATCH($C115,'Référentiel'!$A$2:$A$83,0)),0)&gt;0),EDATE($U115,IFERROR(INDEX('Référentiel'!$E$2:$E$83,MATCH($C115,'Référentiel'!$A$2:$A$83,0)),0)),"")))</f>
      </c>
      <c r="H115" s="21">
        <f>IF(ISNUMBER($G115),$G115-TODAY(),"")</f>
      </c>
      <c r="I115" s="20">
        <f>IF(AND($A115="",$C115=""),"",IF($T115="Non","Hors service",IF(AND($Q115="Location",ISNUMBER($R115),$R115&lt;TODAY()),"Location terminée",IF(OR($F115="Mise à l'arrêt",IF($A115="",0,SUMPRODUCT((Réserves!$B$2:$B$301=$A115)*(Réserves!$E$2:$E$301="Mise à l'arrêt")*(Réserves!$J$2:$J$301&lt;&gt;"Levée")*(Réserves!$J$2:$J$301&lt;&gt;"")))&gt;0),"Arrêt : réserve à lever",IF($C115="","Type à choisir",IF($N115="","Périodicité à saisir",IF(OR(ISTEXT($U115),ISTEXT($R115)),"Date à corriger",IF(AND($E115="",$Q115="Location",$S115&lt;&gt;"Oui"),"Rapport loueur à obtenir",IF(NOT(ISNUMBER($G115)),"Vérif. initiale à tracer",IF($H115&lt;0,"En retard",IF(AND($Q115="Location",$S115&lt;&gt;"Oui"),"Rapport loueur à obtenir",IF($H115&lt;='Tableau de bord'!$C$4,"À planifier","À jour"))))))))))))</f>
      </c>
      <c r="J115" s="22">
        <f>IF($A115="","",COUNTIFS(Réserves!$B$2:$B$301,$A115,Réserves!$J$2:$J$301,"Ouverte")+COUNTIFS(Réserves!$B$2:$B$301,$A115,Réserves!$J$2:$J$301,"En retard"))</f>
      </c>
      <c r="K115" s="20">
        <f>IF($C115="","",IFERROR(INDEX('Référentiel'!$B$2:$B$83,MATCH($C115,'Référentiel'!$A$2:$A$83,0)),"Type hors liste"))</f>
      </c>
      <c r="L115" s="22">
        <f>IF($C115="","",IF(IFERROR(INDEX('Référentiel'!$C$2:$C$83,MATCH($C115,'Référentiel'!$A$2:$A$83,0)),0)=0,"",IFERROR(INDEX('Référentiel'!$C$2:$C$83,MATCH($C115,'Référentiel'!$A$2:$A$83,0)),0)))</f>
      </c>
      <c r="M115" s="23"/>
      <c r="N115" s="22">
        <f>IF($C115="","",IF(IF($M115&lt;&gt;"",IF($L115&lt;&gt;"",MIN($L115,$M115),$M115),IF($L115&lt;&gt;"",$L115,IF(IFERROR(INDEX('Référentiel'!$D$2:$D$83,MATCH($C115,'Référentiel'!$A$2:$A$83,0)),0)&gt;0,IFERROR(INDEX('Référentiel'!$D$2:$D$83,MATCH($C115,'Référentiel'!$A$2:$A$83,0)),0),"")))="","",IF(AND(IFERROR(INDEX('Référentiel'!$F$2:$F$83,MATCH($C115,'Référentiel'!$A$2:$A$83,0)),0)&gt;0,N($J115)&gt;0),MIN(IF($M115&lt;&gt;"",IF($L115&lt;&gt;"",MIN($L115,$M115),$M115),IF($L115&lt;&gt;"",$L115,IF(IFERROR(INDEX('Référentiel'!$D$2:$D$83,MATCH($C115,'Référentiel'!$A$2:$A$83,0)),0)&gt;0,IFERROR(INDEX('Référentiel'!$D$2:$D$83,MATCH($C115,'Référentiel'!$A$2:$A$83,0)),0),""))),IFERROR(INDEX('Référentiel'!$F$2:$F$83,MATCH($C115,'Référentiel'!$A$2:$A$83,0)),0)),IF($M115&lt;&gt;"",IF($L115&lt;&gt;"",MIN($L115,$M115),$M115),IF($L115&lt;&gt;"",$L115,IF(IFERROR(INDEX('Référentiel'!$D$2:$D$83,MATCH($C115,'Référentiel'!$A$2:$A$83,0)),0)&gt;0,IFERROR(INDEX('Référentiel'!$D$2:$D$83,MATCH($C115,'Référentiel'!$A$2:$A$83,0)),0),""))))))</f>
      </c>
      <c r="O115" s="9"/>
      <c r="P115" s="23"/>
      <c r="Q115" s="9"/>
      <c r="R115" s="24"/>
      <c r="S115" s="23"/>
      <c r="T115" s="23"/>
      <c r="U115" s="24"/>
      <c r="V115" s="20">
        <f>IF($C115="","",IFERROR(INDEX('Référentiel'!$K$2:$K$83,MATCH($C115,'Référentiel'!$A$2:$A$83,0)),""))</f>
      </c>
      <c r="W115" s="20">
        <f>IF(AND(ISNUMBER($G115),$I115&lt;&gt;"Hors service",$I115&lt;&gt;"Location terminée"),$G115+ROW()/100000,"")</f>
      </c>
      <c r="X115" s="9"/>
    </row>
    <row r="116" spans="1:24" x14ac:dyDescent="0.25">
      <c r="A116" s="9"/>
      <c r="B116" s="9"/>
      <c r="C116" s="9"/>
      <c r="D116" s="9"/>
      <c r="E116" s="19">
        <f>IF($A116="","",IF(SUMPRODUCT(MAX((Vérifications!$B$2:$B$1001=$A116)*Vérifications!$L$2:$L$1001))=0,"",SUMPRODUCT(MAX((Vérifications!$B$2:$B$1001=$A116)*Vérifications!$L$2:$L$1001))))</f>
      </c>
      <c r="F116" s="20">
        <f>IF($E116="","",IFERROR(INDEX(Vérifications!$E$2:$E$1001,MATCH($A116&amp;"|"&amp;$E116,Vérifications!$M$2:$M$1001,0)),""))</f>
      </c>
      <c r="G116" s="19">
        <f>IF($N116="","",IF(ISNUMBER($E116),EDATE($E116,$N116),IF(AND(ISNUMBER($U116),IFERROR(INDEX('Référentiel'!$E$2:$E$83,MATCH($C116,'Référentiel'!$A$2:$A$83,0)),0)&gt;0),EDATE($U116,IFERROR(INDEX('Référentiel'!$E$2:$E$83,MATCH($C116,'Référentiel'!$A$2:$A$83,0)),0)),"")))</f>
      </c>
      <c r="H116" s="21">
        <f>IF(ISNUMBER($G116),$G116-TODAY(),"")</f>
      </c>
      <c r="I116" s="20">
        <f>IF(AND($A116="",$C116=""),"",IF($T116="Non","Hors service",IF(AND($Q116="Location",ISNUMBER($R116),$R116&lt;TODAY()),"Location terminée",IF(OR($F116="Mise à l'arrêt",IF($A116="",0,SUMPRODUCT((Réserves!$B$2:$B$301=$A116)*(Réserves!$E$2:$E$301="Mise à l'arrêt")*(Réserves!$J$2:$J$301&lt;&gt;"Levée")*(Réserves!$J$2:$J$301&lt;&gt;"")))&gt;0),"Arrêt : réserve à lever",IF($C116="","Type à choisir",IF($N116="","Périodicité à saisir",IF(OR(ISTEXT($U116),ISTEXT($R116)),"Date à corriger",IF(AND($E116="",$Q116="Location",$S116&lt;&gt;"Oui"),"Rapport loueur à obtenir",IF(NOT(ISNUMBER($G116)),"Vérif. initiale à tracer",IF($H116&lt;0,"En retard",IF(AND($Q116="Location",$S116&lt;&gt;"Oui"),"Rapport loueur à obtenir",IF($H116&lt;='Tableau de bord'!$C$4,"À planifier","À jour"))))))))))))</f>
      </c>
      <c r="J116" s="22">
        <f>IF($A116="","",COUNTIFS(Réserves!$B$2:$B$301,$A116,Réserves!$J$2:$J$301,"Ouverte")+COUNTIFS(Réserves!$B$2:$B$301,$A116,Réserves!$J$2:$J$301,"En retard"))</f>
      </c>
      <c r="K116" s="20">
        <f>IF($C116="","",IFERROR(INDEX('Référentiel'!$B$2:$B$83,MATCH($C116,'Référentiel'!$A$2:$A$83,0)),"Type hors liste"))</f>
      </c>
      <c r="L116" s="22">
        <f>IF($C116="","",IF(IFERROR(INDEX('Référentiel'!$C$2:$C$83,MATCH($C116,'Référentiel'!$A$2:$A$83,0)),0)=0,"",IFERROR(INDEX('Référentiel'!$C$2:$C$83,MATCH($C116,'Référentiel'!$A$2:$A$83,0)),0)))</f>
      </c>
      <c r="M116" s="23"/>
      <c r="N116" s="22">
        <f>IF($C116="","",IF(IF($M116&lt;&gt;"",IF($L116&lt;&gt;"",MIN($L116,$M116),$M116),IF($L116&lt;&gt;"",$L116,IF(IFERROR(INDEX('Référentiel'!$D$2:$D$83,MATCH($C116,'Référentiel'!$A$2:$A$83,0)),0)&gt;0,IFERROR(INDEX('Référentiel'!$D$2:$D$83,MATCH($C116,'Référentiel'!$A$2:$A$83,0)),0),"")))="","",IF(AND(IFERROR(INDEX('Référentiel'!$F$2:$F$83,MATCH($C116,'Référentiel'!$A$2:$A$83,0)),0)&gt;0,N($J116)&gt;0),MIN(IF($M116&lt;&gt;"",IF($L116&lt;&gt;"",MIN($L116,$M116),$M116),IF($L116&lt;&gt;"",$L116,IF(IFERROR(INDEX('Référentiel'!$D$2:$D$83,MATCH($C116,'Référentiel'!$A$2:$A$83,0)),0)&gt;0,IFERROR(INDEX('Référentiel'!$D$2:$D$83,MATCH($C116,'Référentiel'!$A$2:$A$83,0)),0),""))),IFERROR(INDEX('Référentiel'!$F$2:$F$83,MATCH($C116,'Référentiel'!$A$2:$A$83,0)),0)),IF($M116&lt;&gt;"",IF($L116&lt;&gt;"",MIN($L116,$M116),$M116),IF($L116&lt;&gt;"",$L116,IF(IFERROR(INDEX('Référentiel'!$D$2:$D$83,MATCH($C116,'Référentiel'!$A$2:$A$83,0)),0)&gt;0,IFERROR(INDEX('Référentiel'!$D$2:$D$83,MATCH($C116,'Référentiel'!$A$2:$A$83,0)),0),""))))))</f>
      </c>
      <c r="O116" s="9"/>
      <c r="P116" s="23"/>
      <c r="Q116" s="9"/>
      <c r="R116" s="24"/>
      <c r="S116" s="23"/>
      <c r="T116" s="23"/>
      <c r="U116" s="24"/>
      <c r="V116" s="20">
        <f>IF($C116="","",IFERROR(INDEX('Référentiel'!$K$2:$K$83,MATCH($C116,'Référentiel'!$A$2:$A$83,0)),""))</f>
      </c>
      <c r="W116" s="20">
        <f>IF(AND(ISNUMBER($G116),$I116&lt;&gt;"Hors service",$I116&lt;&gt;"Location terminée"),$G116+ROW()/100000,"")</f>
      </c>
      <c r="X116" s="9"/>
    </row>
    <row r="117" spans="1:24" x14ac:dyDescent="0.25">
      <c r="A117" s="9"/>
      <c r="B117" s="9"/>
      <c r="C117" s="9"/>
      <c r="D117" s="9"/>
      <c r="E117" s="19">
        <f>IF($A117="","",IF(SUMPRODUCT(MAX((Vérifications!$B$2:$B$1001=$A117)*Vérifications!$L$2:$L$1001))=0,"",SUMPRODUCT(MAX((Vérifications!$B$2:$B$1001=$A117)*Vérifications!$L$2:$L$1001))))</f>
      </c>
      <c r="F117" s="20">
        <f>IF($E117="","",IFERROR(INDEX(Vérifications!$E$2:$E$1001,MATCH($A117&amp;"|"&amp;$E117,Vérifications!$M$2:$M$1001,0)),""))</f>
      </c>
      <c r="G117" s="19">
        <f>IF($N117="","",IF(ISNUMBER($E117),EDATE($E117,$N117),IF(AND(ISNUMBER($U117),IFERROR(INDEX('Référentiel'!$E$2:$E$83,MATCH($C117,'Référentiel'!$A$2:$A$83,0)),0)&gt;0),EDATE($U117,IFERROR(INDEX('Référentiel'!$E$2:$E$83,MATCH($C117,'Référentiel'!$A$2:$A$83,0)),0)),"")))</f>
      </c>
      <c r="H117" s="21">
        <f>IF(ISNUMBER($G117),$G117-TODAY(),"")</f>
      </c>
      <c r="I117" s="20">
        <f>IF(AND($A117="",$C117=""),"",IF($T117="Non","Hors service",IF(AND($Q117="Location",ISNUMBER($R117),$R117&lt;TODAY()),"Location terminée",IF(OR($F117="Mise à l'arrêt",IF($A117="",0,SUMPRODUCT((Réserves!$B$2:$B$301=$A117)*(Réserves!$E$2:$E$301="Mise à l'arrêt")*(Réserves!$J$2:$J$301&lt;&gt;"Levée")*(Réserves!$J$2:$J$301&lt;&gt;"")))&gt;0),"Arrêt : réserve à lever",IF($C117="","Type à choisir",IF($N117="","Périodicité à saisir",IF(OR(ISTEXT($U117),ISTEXT($R117)),"Date à corriger",IF(AND($E117="",$Q117="Location",$S117&lt;&gt;"Oui"),"Rapport loueur à obtenir",IF(NOT(ISNUMBER($G117)),"Vérif. initiale à tracer",IF($H117&lt;0,"En retard",IF(AND($Q117="Location",$S117&lt;&gt;"Oui"),"Rapport loueur à obtenir",IF($H117&lt;='Tableau de bord'!$C$4,"À planifier","À jour"))))))))))))</f>
      </c>
      <c r="J117" s="22">
        <f>IF($A117="","",COUNTIFS(Réserves!$B$2:$B$301,$A117,Réserves!$J$2:$J$301,"Ouverte")+COUNTIFS(Réserves!$B$2:$B$301,$A117,Réserves!$J$2:$J$301,"En retard"))</f>
      </c>
      <c r="K117" s="20">
        <f>IF($C117="","",IFERROR(INDEX('Référentiel'!$B$2:$B$83,MATCH($C117,'Référentiel'!$A$2:$A$83,0)),"Type hors liste"))</f>
      </c>
      <c r="L117" s="22">
        <f>IF($C117="","",IF(IFERROR(INDEX('Référentiel'!$C$2:$C$83,MATCH($C117,'Référentiel'!$A$2:$A$83,0)),0)=0,"",IFERROR(INDEX('Référentiel'!$C$2:$C$83,MATCH($C117,'Référentiel'!$A$2:$A$83,0)),0)))</f>
      </c>
      <c r="M117" s="23"/>
      <c r="N117" s="22">
        <f>IF($C117="","",IF(IF($M117&lt;&gt;"",IF($L117&lt;&gt;"",MIN($L117,$M117),$M117),IF($L117&lt;&gt;"",$L117,IF(IFERROR(INDEX('Référentiel'!$D$2:$D$83,MATCH($C117,'Référentiel'!$A$2:$A$83,0)),0)&gt;0,IFERROR(INDEX('Référentiel'!$D$2:$D$83,MATCH($C117,'Référentiel'!$A$2:$A$83,0)),0),"")))="","",IF(AND(IFERROR(INDEX('Référentiel'!$F$2:$F$83,MATCH($C117,'Référentiel'!$A$2:$A$83,0)),0)&gt;0,N($J117)&gt;0),MIN(IF($M117&lt;&gt;"",IF($L117&lt;&gt;"",MIN($L117,$M117),$M117),IF($L117&lt;&gt;"",$L117,IF(IFERROR(INDEX('Référentiel'!$D$2:$D$83,MATCH($C117,'Référentiel'!$A$2:$A$83,0)),0)&gt;0,IFERROR(INDEX('Référentiel'!$D$2:$D$83,MATCH($C117,'Référentiel'!$A$2:$A$83,0)),0),""))),IFERROR(INDEX('Référentiel'!$F$2:$F$83,MATCH($C117,'Référentiel'!$A$2:$A$83,0)),0)),IF($M117&lt;&gt;"",IF($L117&lt;&gt;"",MIN($L117,$M117),$M117),IF($L117&lt;&gt;"",$L117,IF(IFERROR(INDEX('Référentiel'!$D$2:$D$83,MATCH($C117,'Référentiel'!$A$2:$A$83,0)),0)&gt;0,IFERROR(INDEX('Référentiel'!$D$2:$D$83,MATCH($C117,'Référentiel'!$A$2:$A$83,0)),0),""))))))</f>
      </c>
      <c r="O117" s="9"/>
      <c r="P117" s="23"/>
      <c r="Q117" s="9"/>
      <c r="R117" s="24"/>
      <c r="S117" s="23"/>
      <c r="T117" s="23"/>
      <c r="U117" s="24"/>
      <c r="V117" s="20">
        <f>IF($C117="","",IFERROR(INDEX('Référentiel'!$K$2:$K$83,MATCH($C117,'Référentiel'!$A$2:$A$83,0)),""))</f>
      </c>
      <c r="W117" s="20">
        <f>IF(AND(ISNUMBER($G117),$I117&lt;&gt;"Hors service",$I117&lt;&gt;"Location terminée"),$G117+ROW()/100000,"")</f>
      </c>
      <c r="X117" s="9"/>
    </row>
    <row r="118" spans="1:24" x14ac:dyDescent="0.25">
      <c r="A118" s="9"/>
      <c r="B118" s="9"/>
      <c r="C118" s="9"/>
      <c r="D118" s="9"/>
      <c r="E118" s="19">
        <f>IF($A118="","",IF(SUMPRODUCT(MAX((Vérifications!$B$2:$B$1001=$A118)*Vérifications!$L$2:$L$1001))=0,"",SUMPRODUCT(MAX((Vérifications!$B$2:$B$1001=$A118)*Vérifications!$L$2:$L$1001))))</f>
      </c>
      <c r="F118" s="20">
        <f>IF($E118="","",IFERROR(INDEX(Vérifications!$E$2:$E$1001,MATCH($A118&amp;"|"&amp;$E118,Vérifications!$M$2:$M$1001,0)),""))</f>
      </c>
      <c r="G118" s="19">
        <f>IF($N118="","",IF(ISNUMBER($E118),EDATE($E118,$N118),IF(AND(ISNUMBER($U118),IFERROR(INDEX('Référentiel'!$E$2:$E$83,MATCH($C118,'Référentiel'!$A$2:$A$83,0)),0)&gt;0),EDATE($U118,IFERROR(INDEX('Référentiel'!$E$2:$E$83,MATCH($C118,'Référentiel'!$A$2:$A$83,0)),0)),"")))</f>
      </c>
      <c r="H118" s="21">
        <f>IF(ISNUMBER($G118),$G118-TODAY(),"")</f>
      </c>
      <c r="I118" s="20">
        <f>IF(AND($A118="",$C118=""),"",IF($T118="Non","Hors service",IF(AND($Q118="Location",ISNUMBER($R118),$R118&lt;TODAY()),"Location terminée",IF(OR($F118="Mise à l'arrêt",IF($A118="",0,SUMPRODUCT((Réserves!$B$2:$B$301=$A118)*(Réserves!$E$2:$E$301="Mise à l'arrêt")*(Réserves!$J$2:$J$301&lt;&gt;"Levée")*(Réserves!$J$2:$J$301&lt;&gt;"")))&gt;0),"Arrêt : réserve à lever",IF($C118="","Type à choisir",IF($N118="","Périodicité à saisir",IF(OR(ISTEXT($U118),ISTEXT($R118)),"Date à corriger",IF(AND($E118="",$Q118="Location",$S118&lt;&gt;"Oui"),"Rapport loueur à obtenir",IF(NOT(ISNUMBER($G118)),"Vérif. initiale à tracer",IF($H118&lt;0,"En retard",IF(AND($Q118="Location",$S118&lt;&gt;"Oui"),"Rapport loueur à obtenir",IF($H118&lt;='Tableau de bord'!$C$4,"À planifier","À jour"))))))))))))</f>
      </c>
      <c r="J118" s="22">
        <f>IF($A118="","",COUNTIFS(Réserves!$B$2:$B$301,$A118,Réserves!$J$2:$J$301,"Ouverte")+COUNTIFS(Réserves!$B$2:$B$301,$A118,Réserves!$J$2:$J$301,"En retard"))</f>
      </c>
      <c r="K118" s="20">
        <f>IF($C118="","",IFERROR(INDEX('Référentiel'!$B$2:$B$83,MATCH($C118,'Référentiel'!$A$2:$A$83,0)),"Type hors liste"))</f>
      </c>
      <c r="L118" s="22">
        <f>IF($C118="","",IF(IFERROR(INDEX('Référentiel'!$C$2:$C$83,MATCH($C118,'Référentiel'!$A$2:$A$83,0)),0)=0,"",IFERROR(INDEX('Référentiel'!$C$2:$C$83,MATCH($C118,'Référentiel'!$A$2:$A$83,0)),0)))</f>
      </c>
      <c r="M118" s="23"/>
      <c r="N118" s="22">
        <f>IF($C118="","",IF(IF($M118&lt;&gt;"",IF($L118&lt;&gt;"",MIN($L118,$M118),$M118),IF($L118&lt;&gt;"",$L118,IF(IFERROR(INDEX('Référentiel'!$D$2:$D$83,MATCH($C118,'Référentiel'!$A$2:$A$83,0)),0)&gt;0,IFERROR(INDEX('Référentiel'!$D$2:$D$83,MATCH($C118,'Référentiel'!$A$2:$A$83,0)),0),"")))="","",IF(AND(IFERROR(INDEX('Référentiel'!$F$2:$F$83,MATCH($C118,'Référentiel'!$A$2:$A$83,0)),0)&gt;0,N($J118)&gt;0),MIN(IF($M118&lt;&gt;"",IF($L118&lt;&gt;"",MIN($L118,$M118),$M118),IF($L118&lt;&gt;"",$L118,IF(IFERROR(INDEX('Référentiel'!$D$2:$D$83,MATCH($C118,'Référentiel'!$A$2:$A$83,0)),0)&gt;0,IFERROR(INDEX('Référentiel'!$D$2:$D$83,MATCH($C118,'Référentiel'!$A$2:$A$83,0)),0),""))),IFERROR(INDEX('Référentiel'!$F$2:$F$83,MATCH($C118,'Référentiel'!$A$2:$A$83,0)),0)),IF($M118&lt;&gt;"",IF($L118&lt;&gt;"",MIN($L118,$M118),$M118),IF($L118&lt;&gt;"",$L118,IF(IFERROR(INDEX('Référentiel'!$D$2:$D$83,MATCH($C118,'Référentiel'!$A$2:$A$83,0)),0)&gt;0,IFERROR(INDEX('Référentiel'!$D$2:$D$83,MATCH($C118,'Référentiel'!$A$2:$A$83,0)),0),""))))))</f>
      </c>
      <c r="O118" s="9"/>
      <c r="P118" s="23"/>
      <c r="Q118" s="9"/>
      <c r="R118" s="24"/>
      <c r="S118" s="23"/>
      <c r="T118" s="23"/>
      <c r="U118" s="24"/>
      <c r="V118" s="20">
        <f>IF($C118="","",IFERROR(INDEX('Référentiel'!$K$2:$K$83,MATCH($C118,'Référentiel'!$A$2:$A$83,0)),""))</f>
      </c>
      <c r="W118" s="20">
        <f>IF(AND(ISNUMBER($G118),$I118&lt;&gt;"Hors service",$I118&lt;&gt;"Location terminée"),$G118+ROW()/100000,"")</f>
      </c>
      <c r="X118" s="9"/>
    </row>
    <row r="119" spans="1:24" x14ac:dyDescent="0.25">
      <c r="A119" s="9"/>
      <c r="B119" s="9"/>
      <c r="C119" s="9"/>
      <c r="D119" s="9"/>
      <c r="E119" s="19">
        <f>IF($A119="","",IF(SUMPRODUCT(MAX((Vérifications!$B$2:$B$1001=$A119)*Vérifications!$L$2:$L$1001))=0,"",SUMPRODUCT(MAX((Vérifications!$B$2:$B$1001=$A119)*Vérifications!$L$2:$L$1001))))</f>
      </c>
      <c r="F119" s="20">
        <f>IF($E119="","",IFERROR(INDEX(Vérifications!$E$2:$E$1001,MATCH($A119&amp;"|"&amp;$E119,Vérifications!$M$2:$M$1001,0)),""))</f>
      </c>
      <c r="G119" s="19">
        <f>IF($N119="","",IF(ISNUMBER($E119),EDATE($E119,$N119),IF(AND(ISNUMBER($U119),IFERROR(INDEX('Référentiel'!$E$2:$E$83,MATCH($C119,'Référentiel'!$A$2:$A$83,0)),0)&gt;0),EDATE($U119,IFERROR(INDEX('Référentiel'!$E$2:$E$83,MATCH($C119,'Référentiel'!$A$2:$A$83,0)),0)),"")))</f>
      </c>
      <c r="H119" s="21">
        <f>IF(ISNUMBER($G119),$G119-TODAY(),"")</f>
      </c>
      <c r="I119" s="20">
        <f>IF(AND($A119="",$C119=""),"",IF($T119="Non","Hors service",IF(AND($Q119="Location",ISNUMBER($R119),$R119&lt;TODAY()),"Location terminée",IF(OR($F119="Mise à l'arrêt",IF($A119="",0,SUMPRODUCT((Réserves!$B$2:$B$301=$A119)*(Réserves!$E$2:$E$301="Mise à l'arrêt")*(Réserves!$J$2:$J$301&lt;&gt;"Levée")*(Réserves!$J$2:$J$301&lt;&gt;"")))&gt;0),"Arrêt : réserve à lever",IF($C119="","Type à choisir",IF($N119="","Périodicité à saisir",IF(OR(ISTEXT($U119),ISTEXT($R119)),"Date à corriger",IF(AND($E119="",$Q119="Location",$S119&lt;&gt;"Oui"),"Rapport loueur à obtenir",IF(NOT(ISNUMBER($G119)),"Vérif. initiale à tracer",IF($H119&lt;0,"En retard",IF(AND($Q119="Location",$S119&lt;&gt;"Oui"),"Rapport loueur à obtenir",IF($H119&lt;='Tableau de bord'!$C$4,"À planifier","À jour"))))))))))))</f>
      </c>
      <c r="J119" s="22">
        <f>IF($A119="","",COUNTIFS(Réserves!$B$2:$B$301,$A119,Réserves!$J$2:$J$301,"Ouverte")+COUNTIFS(Réserves!$B$2:$B$301,$A119,Réserves!$J$2:$J$301,"En retard"))</f>
      </c>
      <c r="K119" s="20">
        <f>IF($C119="","",IFERROR(INDEX('Référentiel'!$B$2:$B$83,MATCH($C119,'Référentiel'!$A$2:$A$83,0)),"Type hors liste"))</f>
      </c>
      <c r="L119" s="22">
        <f>IF($C119="","",IF(IFERROR(INDEX('Référentiel'!$C$2:$C$83,MATCH($C119,'Référentiel'!$A$2:$A$83,0)),0)=0,"",IFERROR(INDEX('Référentiel'!$C$2:$C$83,MATCH($C119,'Référentiel'!$A$2:$A$83,0)),0)))</f>
      </c>
      <c r="M119" s="23"/>
      <c r="N119" s="22">
        <f>IF($C119="","",IF(IF($M119&lt;&gt;"",IF($L119&lt;&gt;"",MIN($L119,$M119),$M119),IF($L119&lt;&gt;"",$L119,IF(IFERROR(INDEX('Référentiel'!$D$2:$D$83,MATCH($C119,'Référentiel'!$A$2:$A$83,0)),0)&gt;0,IFERROR(INDEX('Référentiel'!$D$2:$D$83,MATCH($C119,'Référentiel'!$A$2:$A$83,0)),0),"")))="","",IF(AND(IFERROR(INDEX('Référentiel'!$F$2:$F$83,MATCH($C119,'Référentiel'!$A$2:$A$83,0)),0)&gt;0,N($J119)&gt;0),MIN(IF($M119&lt;&gt;"",IF($L119&lt;&gt;"",MIN($L119,$M119),$M119),IF($L119&lt;&gt;"",$L119,IF(IFERROR(INDEX('Référentiel'!$D$2:$D$83,MATCH($C119,'Référentiel'!$A$2:$A$83,0)),0)&gt;0,IFERROR(INDEX('Référentiel'!$D$2:$D$83,MATCH($C119,'Référentiel'!$A$2:$A$83,0)),0),""))),IFERROR(INDEX('Référentiel'!$F$2:$F$83,MATCH($C119,'Référentiel'!$A$2:$A$83,0)),0)),IF($M119&lt;&gt;"",IF($L119&lt;&gt;"",MIN($L119,$M119),$M119),IF($L119&lt;&gt;"",$L119,IF(IFERROR(INDEX('Référentiel'!$D$2:$D$83,MATCH($C119,'Référentiel'!$A$2:$A$83,0)),0)&gt;0,IFERROR(INDEX('Référentiel'!$D$2:$D$83,MATCH($C119,'Référentiel'!$A$2:$A$83,0)),0),""))))))</f>
      </c>
      <c r="O119" s="9"/>
      <c r="P119" s="23"/>
      <c r="Q119" s="9"/>
      <c r="R119" s="24"/>
      <c r="S119" s="23"/>
      <c r="T119" s="23"/>
      <c r="U119" s="24"/>
      <c r="V119" s="20">
        <f>IF($C119="","",IFERROR(INDEX('Référentiel'!$K$2:$K$83,MATCH($C119,'Référentiel'!$A$2:$A$83,0)),""))</f>
      </c>
      <c r="W119" s="20">
        <f>IF(AND(ISNUMBER($G119),$I119&lt;&gt;"Hors service",$I119&lt;&gt;"Location terminée"),$G119+ROW()/100000,"")</f>
      </c>
      <c r="X119" s="9"/>
    </row>
    <row r="120" spans="1:24" x14ac:dyDescent="0.25">
      <c r="A120" s="9"/>
      <c r="B120" s="9"/>
      <c r="C120" s="9"/>
      <c r="D120" s="9"/>
      <c r="E120" s="19">
        <f>IF($A120="","",IF(SUMPRODUCT(MAX((Vérifications!$B$2:$B$1001=$A120)*Vérifications!$L$2:$L$1001))=0,"",SUMPRODUCT(MAX((Vérifications!$B$2:$B$1001=$A120)*Vérifications!$L$2:$L$1001))))</f>
      </c>
      <c r="F120" s="20">
        <f>IF($E120="","",IFERROR(INDEX(Vérifications!$E$2:$E$1001,MATCH($A120&amp;"|"&amp;$E120,Vérifications!$M$2:$M$1001,0)),""))</f>
      </c>
      <c r="G120" s="19">
        <f>IF($N120="","",IF(ISNUMBER($E120),EDATE($E120,$N120),IF(AND(ISNUMBER($U120),IFERROR(INDEX('Référentiel'!$E$2:$E$83,MATCH($C120,'Référentiel'!$A$2:$A$83,0)),0)&gt;0),EDATE($U120,IFERROR(INDEX('Référentiel'!$E$2:$E$83,MATCH($C120,'Référentiel'!$A$2:$A$83,0)),0)),"")))</f>
      </c>
      <c r="H120" s="21">
        <f>IF(ISNUMBER($G120),$G120-TODAY(),"")</f>
      </c>
      <c r="I120" s="20">
        <f>IF(AND($A120="",$C120=""),"",IF($T120="Non","Hors service",IF(AND($Q120="Location",ISNUMBER($R120),$R120&lt;TODAY()),"Location terminée",IF(OR($F120="Mise à l'arrêt",IF($A120="",0,SUMPRODUCT((Réserves!$B$2:$B$301=$A120)*(Réserves!$E$2:$E$301="Mise à l'arrêt")*(Réserves!$J$2:$J$301&lt;&gt;"Levée")*(Réserves!$J$2:$J$301&lt;&gt;"")))&gt;0),"Arrêt : réserve à lever",IF($C120="","Type à choisir",IF($N120="","Périodicité à saisir",IF(OR(ISTEXT($U120),ISTEXT($R120)),"Date à corriger",IF(AND($E120="",$Q120="Location",$S120&lt;&gt;"Oui"),"Rapport loueur à obtenir",IF(NOT(ISNUMBER($G120)),"Vérif. initiale à tracer",IF($H120&lt;0,"En retard",IF(AND($Q120="Location",$S120&lt;&gt;"Oui"),"Rapport loueur à obtenir",IF($H120&lt;='Tableau de bord'!$C$4,"À planifier","À jour"))))))))))))</f>
      </c>
      <c r="J120" s="22">
        <f>IF($A120="","",COUNTIFS(Réserves!$B$2:$B$301,$A120,Réserves!$J$2:$J$301,"Ouverte")+COUNTIFS(Réserves!$B$2:$B$301,$A120,Réserves!$J$2:$J$301,"En retard"))</f>
      </c>
      <c r="K120" s="20">
        <f>IF($C120="","",IFERROR(INDEX('Référentiel'!$B$2:$B$83,MATCH($C120,'Référentiel'!$A$2:$A$83,0)),"Type hors liste"))</f>
      </c>
      <c r="L120" s="22">
        <f>IF($C120="","",IF(IFERROR(INDEX('Référentiel'!$C$2:$C$83,MATCH($C120,'Référentiel'!$A$2:$A$83,0)),0)=0,"",IFERROR(INDEX('Référentiel'!$C$2:$C$83,MATCH($C120,'Référentiel'!$A$2:$A$83,0)),0)))</f>
      </c>
      <c r="M120" s="23"/>
      <c r="N120" s="22">
        <f>IF($C120="","",IF(IF($M120&lt;&gt;"",IF($L120&lt;&gt;"",MIN($L120,$M120),$M120),IF($L120&lt;&gt;"",$L120,IF(IFERROR(INDEX('Référentiel'!$D$2:$D$83,MATCH($C120,'Référentiel'!$A$2:$A$83,0)),0)&gt;0,IFERROR(INDEX('Référentiel'!$D$2:$D$83,MATCH($C120,'Référentiel'!$A$2:$A$83,0)),0),"")))="","",IF(AND(IFERROR(INDEX('Référentiel'!$F$2:$F$83,MATCH($C120,'Référentiel'!$A$2:$A$83,0)),0)&gt;0,N($J120)&gt;0),MIN(IF($M120&lt;&gt;"",IF($L120&lt;&gt;"",MIN($L120,$M120),$M120),IF($L120&lt;&gt;"",$L120,IF(IFERROR(INDEX('Référentiel'!$D$2:$D$83,MATCH($C120,'Référentiel'!$A$2:$A$83,0)),0)&gt;0,IFERROR(INDEX('Référentiel'!$D$2:$D$83,MATCH($C120,'Référentiel'!$A$2:$A$83,0)),0),""))),IFERROR(INDEX('Référentiel'!$F$2:$F$83,MATCH($C120,'Référentiel'!$A$2:$A$83,0)),0)),IF($M120&lt;&gt;"",IF($L120&lt;&gt;"",MIN($L120,$M120),$M120),IF($L120&lt;&gt;"",$L120,IF(IFERROR(INDEX('Référentiel'!$D$2:$D$83,MATCH($C120,'Référentiel'!$A$2:$A$83,0)),0)&gt;0,IFERROR(INDEX('Référentiel'!$D$2:$D$83,MATCH($C120,'Référentiel'!$A$2:$A$83,0)),0),""))))))</f>
      </c>
      <c r="O120" s="9"/>
      <c r="P120" s="23"/>
      <c r="Q120" s="9"/>
      <c r="R120" s="24"/>
      <c r="S120" s="23"/>
      <c r="T120" s="23"/>
      <c r="U120" s="24"/>
      <c r="V120" s="20">
        <f>IF($C120="","",IFERROR(INDEX('Référentiel'!$K$2:$K$83,MATCH($C120,'Référentiel'!$A$2:$A$83,0)),""))</f>
      </c>
      <c r="W120" s="20">
        <f>IF(AND(ISNUMBER($G120),$I120&lt;&gt;"Hors service",$I120&lt;&gt;"Location terminée"),$G120+ROW()/100000,"")</f>
      </c>
      <c r="X120" s="9"/>
    </row>
    <row r="121" spans="1:24" x14ac:dyDescent="0.25">
      <c r="A121" s="9"/>
      <c r="B121" s="9"/>
      <c r="C121" s="9"/>
      <c r="D121" s="9"/>
      <c r="E121" s="19">
        <f>IF($A121="","",IF(SUMPRODUCT(MAX((Vérifications!$B$2:$B$1001=$A121)*Vérifications!$L$2:$L$1001))=0,"",SUMPRODUCT(MAX((Vérifications!$B$2:$B$1001=$A121)*Vérifications!$L$2:$L$1001))))</f>
      </c>
      <c r="F121" s="20">
        <f>IF($E121="","",IFERROR(INDEX(Vérifications!$E$2:$E$1001,MATCH($A121&amp;"|"&amp;$E121,Vérifications!$M$2:$M$1001,0)),""))</f>
      </c>
      <c r="G121" s="19">
        <f>IF($N121="","",IF(ISNUMBER($E121),EDATE($E121,$N121),IF(AND(ISNUMBER($U121),IFERROR(INDEX('Référentiel'!$E$2:$E$83,MATCH($C121,'Référentiel'!$A$2:$A$83,0)),0)&gt;0),EDATE($U121,IFERROR(INDEX('Référentiel'!$E$2:$E$83,MATCH($C121,'Référentiel'!$A$2:$A$83,0)),0)),"")))</f>
      </c>
      <c r="H121" s="21">
        <f>IF(ISNUMBER($G121),$G121-TODAY(),"")</f>
      </c>
      <c r="I121" s="20">
        <f>IF(AND($A121="",$C121=""),"",IF($T121="Non","Hors service",IF(AND($Q121="Location",ISNUMBER($R121),$R121&lt;TODAY()),"Location terminée",IF(OR($F121="Mise à l'arrêt",IF($A121="",0,SUMPRODUCT((Réserves!$B$2:$B$301=$A121)*(Réserves!$E$2:$E$301="Mise à l'arrêt")*(Réserves!$J$2:$J$301&lt;&gt;"Levée")*(Réserves!$J$2:$J$301&lt;&gt;"")))&gt;0),"Arrêt : réserve à lever",IF($C121="","Type à choisir",IF($N121="","Périodicité à saisir",IF(OR(ISTEXT($U121),ISTEXT($R121)),"Date à corriger",IF(AND($E121="",$Q121="Location",$S121&lt;&gt;"Oui"),"Rapport loueur à obtenir",IF(NOT(ISNUMBER($G121)),"Vérif. initiale à tracer",IF($H121&lt;0,"En retard",IF(AND($Q121="Location",$S121&lt;&gt;"Oui"),"Rapport loueur à obtenir",IF($H121&lt;='Tableau de bord'!$C$4,"À planifier","À jour"))))))))))))</f>
      </c>
      <c r="J121" s="22">
        <f>IF($A121="","",COUNTIFS(Réserves!$B$2:$B$301,$A121,Réserves!$J$2:$J$301,"Ouverte")+COUNTIFS(Réserves!$B$2:$B$301,$A121,Réserves!$J$2:$J$301,"En retard"))</f>
      </c>
      <c r="K121" s="20">
        <f>IF($C121="","",IFERROR(INDEX('Référentiel'!$B$2:$B$83,MATCH($C121,'Référentiel'!$A$2:$A$83,0)),"Type hors liste"))</f>
      </c>
      <c r="L121" s="22">
        <f>IF($C121="","",IF(IFERROR(INDEX('Référentiel'!$C$2:$C$83,MATCH($C121,'Référentiel'!$A$2:$A$83,0)),0)=0,"",IFERROR(INDEX('Référentiel'!$C$2:$C$83,MATCH($C121,'Référentiel'!$A$2:$A$83,0)),0)))</f>
      </c>
      <c r="M121" s="23"/>
      <c r="N121" s="22">
        <f>IF($C121="","",IF(IF($M121&lt;&gt;"",IF($L121&lt;&gt;"",MIN($L121,$M121),$M121),IF($L121&lt;&gt;"",$L121,IF(IFERROR(INDEX('Référentiel'!$D$2:$D$83,MATCH($C121,'Référentiel'!$A$2:$A$83,0)),0)&gt;0,IFERROR(INDEX('Référentiel'!$D$2:$D$83,MATCH($C121,'Référentiel'!$A$2:$A$83,0)),0),"")))="","",IF(AND(IFERROR(INDEX('Référentiel'!$F$2:$F$83,MATCH($C121,'Référentiel'!$A$2:$A$83,0)),0)&gt;0,N($J121)&gt;0),MIN(IF($M121&lt;&gt;"",IF($L121&lt;&gt;"",MIN($L121,$M121),$M121),IF($L121&lt;&gt;"",$L121,IF(IFERROR(INDEX('Référentiel'!$D$2:$D$83,MATCH($C121,'Référentiel'!$A$2:$A$83,0)),0)&gt;0,IFERROR(INDEX('Référentiel'!$D$2:$D$83,MATCH($C121,'Référentiel'!$A$2:$A$83,0)),0),""))),IFERROR(INDEX('Référentiel'!$F$2:$F$83,MATCH($C121,'Référentiel'!$A$2:$A$83,0)),0)),IF($M121&lt;&gt;"",IF($L121&lt;&gt;"",MIN($L121,$M121),$M121),IF($L121&lt;&gt;"",$L121,IF(IFERROR(INDEX('Référentiel'!$D$2:$D$83,MATCH($C121,'Référentiel'!$A$2:$A$83,0)),0)&gt;0,IFERROR(INDEX('Référentiel'!$D$2:$D$83,MATCH($C121,'Référentiel'!$A$2:$A$83,0)),0),""))))))</f>
      </c>
      <c r="O121" s="9"/>
      <c r="P121" s="23"/>
      <c r="Q121" s="9"/>
      <c r="R121" s="24"/>
      <c r="S121" s="23"/>
      <c r="T121" s="23"/>
      <c r="U121" s="24"/>
      <c r="V121" s="20">
        <f>IF($C121="","",IFERROR(INDEX('Référentiel'!$K$2:$K$83,MATCH($C121,'Référentiel'!$A$2:$A$83,0)),""))</f>
      </c>
      <c r="W121" s="20">
        <f>IF(AND(ISNUMBER($G121),$I121&lt;&gt;"Hors service",$I121&lt;&gt;"Location terminée"),$G121+ROW()/100000,"")</f>
      </c>
      <c r="X121" s="9"/>
    </row>
    <row r="122" spans="1:24" x14ac:dyDescent="0.25">
      <c r="A122" s="9"/>
      <c r="B122" s="9"/>
      <c r="C122" s="9"/>
      <c r="D122" s="9"/>
      <c r="E122" s="19">
        <f>IF($A122="","",IF(SUMPRODUCT(MAX((Vérifications!$B$2:$B$1001=$A122)*Vérifications!$L$2:$L$1001))=0,"",SUMPRODUCT(MAX((Vérifications!$B$2:$B$1001=$A122)*Vérifications!$L$2:$L$1001))))</f>
      </c>
      <c r="F122" s="20">
        <f>IF($E122="","",IFERROR(INDEX(Vérifications!$E$2:$E$1001,MATCH($A122&amp;"|"&amp;$E122,Vérifications!$M$2:$M$1001,0)),""))</f>
      </c>
      <c r="G122" s="19">
        <f>IF($N122="","",IF(ISNUMBER($E122),EDATE($E122,$N122),IF(AND(ISNUMBER($U122),IFERROR(INDEX('Référentiel'!$E$2:$E$83,MATCH($C122,'Référentiel'!$A$2:$A$83,0)),0)&gt;0),EDATE($U122,IFERROR(INDEX('Référentiel'!$E$2:$E$83,MATCH($C122,'Référentiel'!$A$2:$A$83,0)),0)),"")))</f>
      </c>
      <c r="H122" s="21">
        <f>IF(ISNUMBER($G122),$G122-TODAY(),"")</f>
      </c>
      <c r="I122" s="20">
        <f>IF(AND($A122="",$C122=""),"",IF($T122="Non","Hors service",IF(AND($Q122="Location",ISNUMBER($R122),$R122&lt;TODAY()),"Location terminée",IF(OR($F122="Mise à l'arrêt",IF($A122="",0,SUMPRODUCT((Réserves!$B$2:$B$301=$A122)*(Réserves!$E$2:$E$301="Mise à l'arrêt")*(Réserves!$J$2:$J$301&lt;&gt;"Levée")*(Réserves!$J$2:$J$301&lt;&gt;"")))&gt;0),"Arrêt : réserve à lever",IF($C122="","Type à choisir",IF($N122="","Périodicité à saisir",IF(OR(ISTEXT($U122),ISTEXT($R122)),"Date à corriger",IF(AND($E122="",$Q122="Location",$S122&lt;&gt;"Oui"),"Rapport loueur à obtenir",IF(NOT(ISNUMBER($G122)),"Vérif. initiale à tracer",IF($H122&lt;0,"En retard",IF(AND($Q122="Location",$S122&lt;&gt;"Oui"),"Rapport loueur à obtenir",IF($H122&lt;='Tableau de bord'!$C$4,"À planifier","À jour"))))))))))))</f>
      </c>
      <c r="J122" s="22">
        <f>IF($A122="","",COUNTIFS(Réserves!$B$2:$B$301,$A122,Réserves!$J$2:$J$301,"Ouverte")+COUNTIFS(Réserves!$B$2:$B$301,$A122,Réserves!$J$2:$J$301,"En retard"))</f>
      </c>
      <c r="K122" s="20">
        <f>IF($C122="","",IFERROR(INDEX('Référentiel'!$B$2:$B$83,MATCH($C122,'Référentiel'!$A$2:$A$83,0)),"Type hors liste"))</f>
      </c>
      <c r="L122" s="22">
        <f>IF($C122="","",IF(IFERROR(INDEX('Référentiel'!$C$2:$C$83,MATCH($C122,'Référentiel'!$A$2:$A$83,0)),0)=0,"",IFERROR(INDEX('Référentiel'!$C$2:$C$83,MATCH($C122,'Référentiel'!$A$2:$A$83,0)),0)))</f>
      </c>
      <c r="M122" s="23"/>
      <c r="N122" s="22">
        <f>IF($C122="","",IF(IF($M122&lt;&gt;"",IF($L122&lt;&gt;"",MIN($L122,$M122),$M122),IF($L122&lt;&gt;"",$L122,IF(IFERROR(INDEX('Référentiel'!$D$2:$D$83,MATCH($C122,'Référentiel'!$A$2:$A$83,0)),0)&gt;0,IFERROR(INDEX('Référentiel'!$D$2:$D$83,MATCH($C122,'Référentiel'!$A$2:$A$83,0)),0),"")))="","",IF(AND(IFERROR(INDEX('Référentiel'!$F$2:$F$83,MATCH($C122,'Référentiel'!$A$2:$A$83,0)),0)&gt;0,N($J122)&gt;0),MIN(IF($M122&lt;&gt;"",IF($L122&lt;&gt;"",MIN($L122,$M122),$M122),IF($L122&lt;&gt;"",$L122,IF(IFERROR(INDEX('Référentiel'!$D$2:$D$83,MATCH($C122,'Référentiel'!$A$2:$A$83,0)),0)&gt;0,IFERROR(INDEX('Référentiel'!$D$2:$D$83,MATCH($C122,'Référentiel'!$A$2:$A$83,0)),0),""))),IFERROR(INDEX('Référentiel'!$F$2:$F$83,MATCH($C122,'Référentiel'!$A$2:$A$83,0)),0)),IF($M122&lt;&gt;"",IF($L122&lt;&gt;"",MIN($L122,$M122),$M122),IF($L122&lt;&gt;"",$L122,IF(IFERROR(INDEX('Référentiel'!$D$2:$D$83,MATCH($C122,'Référentiel'!$A$2:$A$83,0)),0)&gt;0,IFERROR(INDEX('Référentiel'!$D$2:$D$83,MATCH($C122,'Référentiel'!$A$2:$A$83,0)),0),""))))))</f>
      </c>
      <c r="O122" s="9"/>
      <c r="P122" s="23"/>
      <c r="Q122" s="9"/>
      <c r="R122" s="24"/>
      <c r="S122" s="23"/>
      <c r="T122" s="23"/>
      <c r="U122" s="24"/>
      <c r="V122" s="20">
        <f>IF($C122="","",IFERROR(INDEX('Référentiel'!$K$2:$K$83,MATCH($C122,'Référentiel'!$A$2:$A$83,0)),""))</f>
      </c>
      <c r="W122" s="20">
        <f>IF(AND(ISNUMBER($G122),$I122&lt;&gt;"Hors service",$I122&lt;&gt;"Location terminée"),$G122+ROW()/100000,"")</f>
      </c>
      <c r="X122" s="9"/>
    </row>
    <row r="123" spans="1:24" x14ac:dyDescent="0.25">
      <c r="A123" s="9"/>
      <c r="B123" s="9"/>
      <c r="C123" s="9"/>
      <c r="D123" s="9"/>
      <c r="E123" s="19">
        <f>IF($A123="","",IF(SUMPRODUCT(MAX((Vérifications!$B$2:$B$1001=$A123)*Vérifications!$L$2:$L$1001))=0,"",SUMPRODUCT(MAX((Vérifications!$B$2:$B$1001=$A123)*Vérifications!$L$2:$L$1001))))</f>
      </c>
      <c r="F123" s="20">
        <f>IF($E123="","",IFERROR(INDEX(Vérifications!$E$2:$E$1001,MATCH($A123&amp;"|"&amp;$E123,Vérifications!$M$2:$M$1001,0)),""))</f>
      </c>
      <c r="G123" s="19">
        <f>IF($N123="","",IF(ISNUMBER($E123),EDATE($E123,$N123),IF(AND(ISNUMBER($U123),IFERROR(INDEX('Référentiel'!$E$2:$E$83,MATCH($C123,'Référentiel'!$A$2:$A$83,0)),0)&gt;0),EDATE($U123,IFERROR(INDEX('Référentiel'!$E$2:$E$83,MATCH($C123,'Référentiel'!$A$2:$A$83,0)),0)),"")))</f>
      </c>
      <c r="H123" s="21">
        <f>IF(ISNUMBER($G123),$G123-TODAY(),"")</f>
      </c>
      <c r="I123" s="20">
        <f>IF(AND($A123="",$C123=""),"",IF($T123="Non","Hors service",IF(AND($Q123="Location",ISNUMBER($R123),$R123&lt;TODAY()),"Location terminée",IF(OR($F123="Mise à l'arrêt",IF($A123="",0,SUMPRODUCT((Réserves!$B$2:$B$301=$A123)*(Réserves!$E$2:$E$301="Mise à l'arrêt")*(Réserves!$J$2:$J$301&lt;&gt;"Levée")*(Réserves!$J$2:$J$301&lt;&gt;"")))&gt;0),"Arrêt : réserve à lever",IF($C123="","Type à choisir",IF($N123="","Périodicité à saisir",IF(OR(ISTEXT($U123),ISTEXT($R123)),"Date à corriger",IF(AND($E123="",$Q123="Location",$S123&lt;&gt;"Oui"),"Rapport loueur à obtenir",IF(NOT(ISNUMBER($G123)),"Vérif. initiale à tracer",IF($H123&lt;0,"En retard",IF(AND($Q123="Location",$S123&lt;&gt;"Oui"),"Rapport loueur à obtenir",IF($H123&lt;='Tableau de bord'!$C$4,"À planifier","À jour"))))))))))))</f>
      </c>
      <c r="J123" s="22">
        <f>IF($A123="","",COUNTIFS(Réserves!$B$2:$B$301,$A123,Réserves!$J$2:$J$301,"Ouverte")+COUNTIFS(Réserves!$B$2:$B$301,$A123,Réserves!$J$2:$J$301,"En retard"))</f>
      </c>
      <c r="K123" s="20">
        <f>IF($C123="","",IFERROR(INDEX('Référentiel'!$B$2:$B$83,MATCH($C123,'Référentiel'!$A$2:$A$83,0)),"Type hors liste"))</f>
      </c>
      <c r="L123" s="22">
        <f>IF($C123="","",IF(IFERROR(INDEX('Référentiel'!$C$2:$C$83,MATCH($C123,'Référentiel'!$A$2:$A$83,0)),0)=0,"",IFERROR(INDEX('Référentiel'!$C$2:$C$83,MATCH($C123,'Référentiel'!$A$2:$A$83,0)),0)))</f>
      </c>
      <c r="M123" s="23"/>
      <c r="N123" s="22">
        <f>IF($C123="","",IF(IF($M123&lt;&gt;"",IF($L123&lt;&gt;"",MIN($L123,$M123),$M123),IF($L123&lt;&gt;"",$L123,IF(IFERROR(INDEX('Référentiel'!$D$2:$D$83,MATCH($C123,'Référentiel'!$A$2:$A$83,0)),0)&gt;0,IFERROR(INDEX('Référentiel'!$D$2:$D$83,MATCH($C123,'Référentiel'!$A$2:$A$83,0)),0),"")))="","",IF(AND(IFERROR(INDEX('Référentiel'!$F$2:$F$83,MATCH($C123,'Référentiel'!$A$2:$A$83,0)),0)&gt;0,N($J123)&gt;0),MIN(IF($M123&lt;&gt;"",IF($L123&lt;&gt;"",MIN($L123,$M123),$M123),IF($L123&lt;&gt;"",$L123,IF(IFERROR(INDEX('Référentiel'!$D$2:$D$83,MATCH($C123,'Référentiel'!$A$2:$A$83,0)),0)&gt;0,IFERROR(INDEX('Référentiel'!$D$2:$D$83,MATCH($C123,'Référentiel'!$A$2:$A$83,0)),0),""))),IFERROR(INDEX('Référentiel'!$F$2:$F$83,MATCH($C123,'Référentiel'!$A$2:$A$83,0)),0)),IF($M123&lt;&gt;"",IF($L123&lt;&gt;"",MIN($L123,$M123),$M123),IF($L123&lt;&gt;"",$L123,IF(IFERROR(INDEX('Référentiel'!$D$2:$D$83,MATCH($C123,'Référentiel'!$A$2:$A$83,0)),0)&gt;0,IFERROR(INDEX('Référentiel'!$D$2:$D$83,MATCH($C123,'Référentiel'!$A$2:$A$83,0)),0),""))))))</f>
      </c>
      <c r="O123" s="9"/>
      <c r="P123" s="23"/>
      <c r="Q123" s="9"/>
      <c r="R123" s="24"/>
      <c r="S123" s="23"/>
      <c r="T123" s="23"/>
      <c r="U123" s="24"/>
      <c r="V123" s="20">
        <f>IF($C123="","",IFERROR(INDEX('Référentiel'!$K$2:$K$83,MATCH($C123,'Référentiel'!$A$2:$A$83,0)),""))</f>
      </c>
      <c r="W123" s="20">
        <f>IF(AND(ISNUMBER($G123),$I123&lt;&gt;"Hors service",$I123&lt;&gt;"Location terminée"),$G123+ROW()/100000,"")</f>
      </c>
      <c r="X123" s="9"/>
    </row>
    <row r="124" spans="1:24" x14ac:dyDescent="0.25">
      <c r="A124" s="9"/>
      <c r="B124" s="9"/>
      <c r="C124" s="9"/>
      <c r="D124" s="9"/>
      <c r="E124" s="19">
        <f>IF($A124="","",IF(SUMPRODUCT(MAX((Vérifications!$B$2:$B$1001=$A124)*Vérifications!$L$2:$L$1001))=0,"",SUMPRODUCT(MAX((Vérifications!$B$2:$B$1001=$A124)*Vérifications!$L$2:$L$1001))))</f>
      </c>
      <c r="F124" s="20">
        <f>IF($E124="","",IFERROR(INDEX(Vérifications!$E$2:$E$1001,MATCH($A124&amp;"|"&amp;$E124,Vérifications!$M$2:$M$1001,0)),""))</f>
      </c>
      <c r="G124" s="19">
        <f>IF($N124="","",IF(ISNUMBER($E124),EDATE($E124,$N124),IF(AND(ISNUMBER($U124),IFERROR(INDEX('Référentiel'!$E$2:$E$83,MATCH($C124,'Référentiel'!$A$2:$A$83,0)),0)&gt;0),EDATE($U124,IFERROR(INDEX('Référentiel'!$E$2:$E$83,MATCH($C124,'Référentiel'!$A$2:$A$83,0)),0)),"")))</f>
      </c>
      <c r="H124" s="21">
        <f>IF(ISNUMBER($G124),$G124-TODAY(),"")</f>
      </c>
      <c r="I124" s="20">
        <f>IF(AND($A124="",$C124=""),"",IF($T124="Non","Hors service",IF(AND($Q124="Location",ISNUMBER($R124),$R124&lt;TODAY()),"Location terminée",IF(OR($F124="Mise à l'arrêt",IF($A124="",0,SUMPRODUCT((Réserves!$B$2:$B$301=$A124)*(Réserves!$E$2:$E$301="Mise à l'arrêt")*(Réserves!$J$2:$J$301&lt;&gt;"Levée")*(Réserves!$J$2:$J$301&lt;&gt;"")))&gt;0),"Arrêt : réserve à lever",IF($C124="","Type à choisir",IF($N124="","Périodicité à saisir",IF(OR(ISTEXT($U124),ISTEXT($R124)),"Date à corriger",IF(AND($E124="",$Q124="Location",$S124&lt;&gt;"Oui"),"Rapport loueur à obtenir",IF(NOT(ISNUMBER($G124)),"Vérif. initiale à tracer",IF($H124&lt;0,"En retard",IF(AND($Q124="Location",$S124&lt;&gt;"Oui"),"Rapport loueur à obtenir",IF($H124&lt;='Tableau de bord'!$C$4,"À planifier","À jour"))))))))))))</f>
      </c>
      <c r="J124" s="22">
        <f>IF($A124="","",COUNTIFS(Réserves!$B$2:$B$301,$A124,Réserves!$J$2:$J$301,"Ouverte")+COUNTIFS(Réserves!$B$2:$B$301,$A124,Réserves!$J$2:$J$301,"En retard"))</f>
      </c>
      <c r="K124" s="20">
        <f>IF($C124="","",IFERROR(INDEX('Référentiel'!$B$2:$B$83,MATCH($C124,'Référentiel'!$A$2:$A$83,0)),"Type hors liste"))</f>
      </c>
      <c r="L124" s="22">
        <f>IF($C124="","",IF(IFERROR(INDEX('Référentiel'!$C$2:$C$83,MATCH($C124,'Référentiel'!$A$2:$A$83,0)),0)=0,"",IFERROR(INDEX('Référentiel'!$C$2:$C$83,MATCH($C124,'Référentiel'!$A$2:$A$83,0)),0)))</f>
      </c>
      <c r="M124" s="23"/>
      <c r="N124" s="22">
        <f>IF($C124="","",IF(IF($M124&lt;&gt;"",IF($L124&lt;&gt;"",MIN($L124,$M124),$M124),IF($L124&lt;&gt;"",$L124,IF(IFERROR(INDEX('Référentiel'!$D$2:$D$83,MATCH($C124,'Référentiel'!$A$2:$A$83,0)),0)&gt;0,IFERROR(INDEX('Référentiel'!$D$2:$D$83,MATCH($C124,'Référentiel'!$A$2:$A$83,0)),0),"")))="","",IF(AND(IFERROR(INDEX('Référentiel'!$F$2:$F$83,MATCH($C124,'Référentiel'!$A$2:$A$83,0)),0)&gt;0,N($J124)&gt;0),MIN(IF($M124&lt;&gt;"",IF($L124&lt;&gt;"",MIN($L124,$M124),$M124),IF($L124&lt;&gt;"",$L124,IF(IFERROR(INDEX('Référentiel'!$D$2:$D$83,MATCH($C124,'Référentiel'!$A$2:$A$83,0)),0)&gt;0,IFERROR(INDEX('Référentiel'!$D$2:$D$83,MATCH($C124,'Référentiel'!$A$2:$A$83,0)),0),""))),IFERROR(INDEX('Référentiel'!$F$2:$F$83,MATCH($C124,'Référentiel'!$A$2:$A$83,0)),0)),IF($M124&lt;&gt;"",IF($L124&lt;&gt;"",MIN($L124,$M124),$M124),IF($L124&lt;&gt;"",$L124,IF(IFERROR(INDEX('Référentiel'!$D$2:$D$83,MATCH($C124,'Référentiel'!$A$2:$A$83,0)),0)&gt;0,IFERROR(INDEX('Référentiel'!$D$2:$D$83,MATCH($C124,'Référentiel'!$A$2:$A$83,0)),0),""))))))</f>
      </c>
      <c r="O124" s="9"/>
      <c r="P124" s="23"/>
      <c r="Q124" s="9"/>
      <c r="R124" s="24"/>
      <c r="S124" s="23"/>
      <c r="T124" s="23"/>
      <c r="U124" s="24"/>
      <c r="V124" s="20">
        <f>IF($C124="","",IFERROR(INDEX('Référentiel'!$K$2:$K$83,MATCH($C124,'Référentiel'!$A$2:$A$83,0)),""))</f>
      </c>
      <c r="W124" s="20">
        <f>IF(AND(ISNUMBER($G124),$I124&lt;&gt;"Hors service",$I124&lt;&gt;"Location terminée"),$G124+ROW()/100000,"")</f>
      </c>
      <c r="X124" s="9"/>
    </row>
    <row r="125" spans="1:24" x14ac:dyDescent="0.25">
      <c r="A125" s="9"/>
      <c r="B125" s="9"/>
      <c r="C125" s="9"/>
      <c r="D125" s="9"/>
      <c r="E125" s="19">
        <f>IF($A125="","",IF(SUMPRODUCT(MAX((Vérifications!$B$2:$B$1001=$A125)*Vérifications!$L$2:$L$1001))=0,"",SUMPRODUCT(MAX((Vérifications!$B$2:$B$1001=$A125)*Vérifications!$L$2:$L$1001))))</f>
      </c>
      <c r="F125" s="20">
        <f>IF($E125="","",IFERROR(INDEX(Vérifications!$E$2:$E$1001,MATCH($A125&amp;"|"&amp;$E125,Vérifications!$M$2:$M$1001,0)),""))</f>
      </c>
      <c r="G125" s="19">
        <f>IF($N125="","",IF(ISNUMBER($E125),EDATE($E125,$N125),IF(AND(ISNUMBER($U125),IFERROR(INDEX('Référentiel'!$E$2:$E$83,MATCH($C125,'Référentiel'!$A$2:$A$83,0)),0)&gt;0),EDATE($U125,IFERROR(INDEX('Référentiel'!$E$2:$E$83,MATCH($C125,'Référentiel'!$A$2:$A$83,0)),0)),"")))</f>
      </c>
      <c r="H125" s="21">
        <f>IF(ISNUMBER($G125),$G125-TODAY(),"")</f>
      </c>
      <c r="I125" s="20">
        <f>IF(AND($A125="",$C125=""),"",IF($T125="Non","Hors service",IF(AND($Q125="Location",ISNUMBER($R125),$R125&lt;TODAY()),"Location terminée",IF(OR($F125="Mise à l'arrêt",IF($A125="",0,SUMPRODUCT((Réserves!$B$2:$B$301=$A125)*(Réserves!$E$2:$E$301="Mise à l'arrêt")*(Réserves!$J$2:$J$301&lt;&gt;"Levée")*(Réserves!$J$2:$J$301&lt;&gt;"")))&gt;0),"Arrêt : réserve à lever",IF($C125="","Type à choisir",IF($N125="","Périodicité à saisir",IF(OR(ISTEXT($U125),ISTEXT($R125)),"Date à corriger",IF(AND($E125="",$Q125="Location",$S125&lt;&gt;"Oui"),"Rapport loueur à obtenir",IF(NOT(ISNUMBER($G125)),"Vérif. initiale à tracer",IF($H125&lt;0,"En retard",IF(AND($Q125="Location",$S125&lt;&gt;"Oui"),"Rapport loueur à obtenir",IF($H125&lt;='Tableau de bord'!$C$4,"À planifier","À jour"))))))))))))</f>
      </c>
      <c r="J125" s="22">
        <f>IF($A125="","",COUNTIFS(Réserves!$B$2:$B$301,$A125,Réserves!$J$2:$J$301,"Ouverte")+COUNTIFS(Réserves!$B$2:$B$301,$A125,Réserves!$J$2:$J$301,"En retard"))</f>
      </c>
      <c r="K125" s="20">
        <f>IF($C125="","",IFERROR(INDEX('Référentiel'!$B$2:$B$83,MATCH($C125,'Référentiel'!$A$2:$A$83,0)),"Type hors liste"))</f>
      </c>
      <c r="L125" s="22">
        <f>IF($C125="","",IF(IFERROR(INDEX('Référentiel'!$C$2:$C$83,MATCH($C125,'Référentiel'!$A$2:$A$83,0)),0)=0,"",IFERROR(INDEX('Référentiel'!$C$2:$C$83,MATCH($C125,'Référentiel'!$A$2:$A$83,0)),0)))</f>
      </c>
      <c r="M125" s="23"/>
      <c r="N125" s="22">
        <f>IF($C125="","",IF(IF($M125&lt;&gt;"",IF($L125&lt;&gt;"",MIN($L125,$M125),$M125),IF($L125&lt;&gt;"",$L125,IF(IFERROR(INDEX('Référentiel'!$D$2:$D$83,MATCH($C125,'Référentiel'!$A$2:$A$83,0)),0)&gt;0,IFERROR(INDEX('Référentiel'!$D$2:$D$83,MATCH($C125,'Référentiel'!$A$2:$A$83,0)),0),"")))="","",IF(AND(IFERROR(INDEX('Référentiel'!$F$2:$F$83,MATCH($C125,'Référentiel'!$A$2:$A$83,0)),0)&gt;0,N($J125)&gt;0),MIN(IF($M125&lt;&gt;"",IF($L125&lt;&gt;"",MIN($L125,$M125),$M125),IF($L125&lt;&gt;"",$L125,IF(IFERROR(INDEX('Référentiel'!$D$2:$D$83,MATCH($C125,'Référentiel'!$A$2:$A$83,0)),0)&gt;0,IFERROR(INDEX('Référentiel'!$D$2:$D$83,MATCH($C125,'Référentiel'!$A$2:$A$83,0)),0),""))),IFERROR(INDEX('Référentiel'!$F$2:$F$83,MATCH($C125,'Référentiel'!$A$2:$A$83,0)),0)),IF($M125&lt;&gt;"",IF($L125&lt;&gt;"",MIN($L125,$M125),$M125),IF($L125&lt;&gt;"",$L125,IF(IFERROR(INDEX('Référentiel'!$D$2:$D$83,MATCH($C125,'Référentiel'!$A$2:$A$83,0)),0)&gt;0,IFERROR(INDEX('Référentiel'!$D$2:$D$83,MATCH($C125,'Référentiel'!$A$2:$A$83,0)),0),""))))))</f>
      </c>
      <c r="O125" s="9"/>
      <c r="P125" s="23"/>
      <c r="Q125" s="9"/>
      <c r="R125" s="24"/>
      <c r="S125" s="23"/>
      <c r="T125" s="23"/>
      <c r="U125" s="24"/>
      <c r="V125" s="20">
        <f>IF($C125="","",IFERROR(INDEX('Référentiel'!$K$2:$K$83,MATCH($C125,'Référentiel'!$A$2:$A$83,0)),""))</f>
      </c>
      <c r="W125" s="20">
        <f>IF(AND(ISNUMBER($G125),$I125&lt;&gt;"Hors service",$I125&lt;&gt;"Location terminée"),$G125+ROW()/100000,"")</f>
      </c>
      <c r="X125" s="9"/>
    </row>
    <row r="126" spans="1:24" x14ac:dyDescent="0.25">
      <c r="A126" s="9"/>
      <c r="B126" s="9"/>
      <c r="C126" s="9"/>
      <c r="D126" s="9"/>
      <c r="E126" s="19">
        <f>IF($A126="","",IF(SUMPRODUCT(MAX((Vérifications!$B$2:$B$1001=$A126)*Vérifications!$L$2:$L$1001))=0,"",SUMPRODUCT(MAX((Vérifications!$B$2:$B$1001=$A126)*Vérifications!$L$2:$L$1001))))</f>
      </c>
      <c r="F126" s="20">
        <f>IF($E126="","",IFERROR(INDEX(Vérifications!$E$2:$E$1001,MATCH($A126&amp;"|"&amp;$E126,Vérifications!$M$2:$M$1001,0)),""))</f>
      </c>
      <c r="G126" s="19">
        <f>IF($N126="","",IF(ISNUMBER($E126),EDATE($E126,$N126),IF(AND(ISNUMBER($U126),IFERROR(INDEX('Référentiel'!$E$2:$E$83,MATCH($C126,'Référentiel'!$A$2:$A$83,0)),0)&gt;0),EDATE($U126,IFERROR(INDEX('Référentiel'!$E$2:$E$83,MATCH($C126,'Référentiel'!$A$2:$A$83,0)),0)),"")))</f>
      </c>
      <c r="H126" s="21">
        <f>IF(ISNUMBER($G126),$G126-TODAY(),"")</f>
      </c>
      <c r="I126" s="20">
        <f>IF(AND($A126="",$C126=""),"",IF($T126="Non","Hors service",IF(AND($Q126="Location",ISNUMBER($R126),$R126&lt;TODAY()),"Location terminée",IF(OR($F126="Mise à l'arrêt",IF($A126="",0,SUMPRODUCT((Réserves!$B$2:$B$301=$A126)*(Réserves!$E$2:$E$301="Mise à l'arrêt")*(Réserves!$J$2:$J$301&lt;&gt;"Levée")*(Réserves!$J$2:$J$301&lt;&gt;"")))&gt;0),"Arrêt : réserve à lever",IF($C126="","Type à choisir",IF($N126="","Périodicité à saisir",IF(OR(ISTEXT($U126),ISTEXT($R126)),"Date à corriger",IF(AND($E126="",$Q126="Location",$S126&lt;&gt;"Oui"),"Rapport loueur à obtenir",IF(NOT(ISNUMBER($G126)),"Vérif. initiale à tracer",IF($H126&lt;0,"En retard",IF(AND($Q126="Location",$S126&lt;&gt;"Oui"),"Rapport loueur à obtenir",IF($H126&lt;='Tableau de bord'!$C$4,"À planifier","À jour"))))))))))))</f>
      </c>
      <c r="J126" s="22">
        <f>IF($A126="","",COUNTIFS(Réserves!$B$2:$B$301,$A126,Réserves!$J$2:$J$301,"Ouverte")+COUNTIFS(Réserves!$B$2:$B$301,$A126,Réserves!$J$2:$J$301,"En retard"))</f>
      </c>
      <c r="K126" s="20">
        <f>IF($C126="","",IFERROR(INDEX('Référentiel'!$B$2:$B$83,MATCH($C126,'Référentiel'!$A$2:$A$83,0)),"Type hors liste"))</f>
      </c>
      <c r="L126" s="22">
        <f>IF($C126="","",IF(IFERROR(INDEX('Référentiel'!$C$2:$C$83,MATCH($C126,'Référentiel'!$A$2:$A$83,0)),0)=0,"",IFERROR(INDEX('Référentiel'!$C$2:$C$83,MATCH($C126,'Référentiel'!$A$2:$A$83,0)),0)))</f>
      </c>
      <c r="M126" s="23"/>
      <c r="N126" s="22">
        <f>IF($C126="","",IF(IF($M126&lt;&gt;"",IF($L126&lt;&gt;"",MIN($L126,$M126),$M126),IF($L126&lt;&gt;"",$L126,IF(IFERROR(INDEX('Référentiel'!$D$2:$D$83,MATCH($C126,'Référentiel'!$A$2:$A$83,0)),0)&gt;0,IFERROR(INDEX('Référentiel'!$D$2:$D$83,MATCH($C126,'Référentiel'!$A$2:$A$83,0)),0),"")))="","",IF(AND(IFERROR(INDEX('Référentiel'!$F$2:$F$83,MATCH($C126,'Référentiel'!$A$2:$A$83,0)),0)&gt;0,N($J126)&gt;0),MIN(IF($M126&lt;&gt;"",IF($L126&lt;&gt;"",MIN($L126,$M126),$M126),IF($L126&lt;&gt;"",$L126,IF(IFERROR(INDEX('Référentiel'!$D$2:$D$83,MATCH($C126,'Référentiel'!$A$2:$A$83,0)),0)&gt;0,IFERROR(INDEX('Référentiel'!$D$2:$D$83,MATCH($C126,'Référentiel'!$A$2:$A$83,0)),0),""))),IFERROR(INDEX('Référentiel'!$F$2:$F$83,MATCH($C126,'Référentiel'!$A$2:$A$83,0)),0)),IF($M126&lt;&gt;"",IF($L126&lt;&gt;"",MIN($L126,$M126),$M126),IF($L126&lt;&gt;"",$L126,IF(IFERROR(INDEX('Référentiel'!$D$2:$D$83,MATCH($C126,'Référentiel'!$A$2:$A$83,0)),0)&gt;0,IFERROR(INDEX('Référentiel'!$D$2:$D$83,MATCH($C126,'Référentiel'!$A$2:$A$83,0)),0),""))))))</f>
      </c>
      <c r="O126" s="9"/>
      <c r="P126" s="23"/>
      <c r="Q126" s="9"/>
      <c r="R126" s="24"/>
      <c r="S126" s="23"/>
      <c r="T126" s="23"/>
      <c r="U126" s="24"/>
      <c r="V126" s="20">
        <f>IF($C126="","",IFERROR(INDEX('Référentiel'!$K$2:$K$83,MATCH($C126,'Référentiel'!$A$2:$A$83,0)),""))</f>
      </c>
      <c r="W126" s="20">
        <f>IF(AND(ISNUMBER($G126),$I126&lt;&gt;"Hors service",$I126&lt;&gt;"Location terminée"),$G126+ROW()/100000,"")</f>
      </c>
      <c r="X126" s="9"/>
    </row>
    <row r="127" spans="1:24" x14ac:dyDescent="0.25">
      <c r="A127" s="9"/>
      <c r="B127" s="9"/>
      <c r="C127" s="9"/>
      <c r="D127" s="9"/>
      <c r="E127" s="19">
        <f>IF($A127="","",IF(SUMPRODUCT(MAX((Vérifications!$B$2:$B$1001=$A127)*Vérifications!$L$2:$L$1001))=0,"",SUMPRODUCT(MAX((Vérifications!$B$2:$B$1001=$A127)*Vérifications!$L$2:$L$1001))))</f>
      </c>
      <c r="F127" s="20">
        <f>IF($E127="","",IFERROR(INDEX(Vérifications!$E$2:$E$1001,MATCH($A127&amp;"|"&amp;$E127,Vérifications!$M$2:$M$1001,0)),""))</f>
      </c>
      <c r="G127" s="19">
        <f>IF($N127="","",IF(ISNUMBER($E127),EDATE($E127,$N127),IF(AND(ISNUMBER($U127),IFERROR(INDEX('Référentiel'!$E$2:$E$83,MATCH($C127,'Référentiel'!$A$2:$A$83,0)),0)&gt;0),EDATE($U127,IFERROR(INDEX('Référentiel'!$E$2:$E$83,MATCH($C127,'Référentiel'!$A$2:$A$83,0)),0)),"")))</f>
      </c>
      <c r="H127" s="21">
        <f>IF(ISNUMBER($G127),$G127-TODAY(),"")</f>
      </c>
      <c r="I127" s="20">
        <f>IF(AND($A127="",$C127=""),"",IF($T127="Non","Hors service",IF(AND($Q127="Location",ISNUMBER($R127),$R127&lt;TODAY()),"Location terminée",IF(OR($F127="Mise à l'arrêt",IF($A127="",0,SUMPRODUCT((Réserves!$B$2:$B$301=$A127)*(Réserves!$E$2:$E$301="Mise à l'arrêt")*(Réserves!$J$2:$J$301&lt;&gt;"Levée")*(Réserves!$J$2:$J$301&lt;&gt;"")))&gt;0),"Arrêt : réserve à lever",IF($C127="","Type à choisir",IF($N127="","Périodicité à saisir",IF(OR(ISTEXT($U127),ISTEXT($R127)),"Date à corriger",IF(AND($E127="",$Q127="Location",$S127&lt;&gt;"Oui"),"Rapport loueur à obtenir",IF(NOT(ISNUMBER($G127)),"Vérif. initiale à tracer",IF($H127&lt;0,"En retard",IF(AND($Q127="Location",$S127&lt;&gt;"Oui"),"Rapport loueur à obtenir",IF($H127&lt;='Tableau de bord'!$C$4,"À planifier","À jour"))))))))))))</f>
      </c>
      <c r="J127" s="22">
        <f>IF($A127="","",COUNTIFS(Réserves!$B$2:$B$301,$A127,Réserves!$J$2:$J$301,"Ouverte")+COUNTIFS(Réserves!$B$2:$B$301,$A127,Réserves!$J$2:$J$301,"En retard"))</f>
      </c>
      <c r="K127" s="20">
        <f>IF($C127="","",IFERROR(INDEX('Référentiel'!$B$2:$B$83,MATCH($C127,'Référentiel'!$A$2:$A$83,0)),"Type hors liste"))</f>
      </c>
      <c r="L127" s="22">
        <f>IF($C127="","",IF(IFERROR(INDEX('Référentiel'!$C$2:$C$83,MATCH($C127,'Référentiel'!$A$2:$A$83,0)),0)=0,"",IFERROR(INDEX('Référentiel'!$C$2:$C$83,MATCH($C127,'Référentiel'!$A$2:$A$83,0)),0)))</f>
      </c>
      <c r="M127" s="23"/>
      <c r="N127" s="22">
        <f>IF($C127="","",IF(IF($M127&lt;&gt;"",IF($L127&lt;&gt;"",MIN($L127,$M127),$M127),IF($L127&lt;&gt;"",$L127,IF(IFERROR(INDEX('Référentiel'!$D$2:$D$83,MATCH($C127,'Référentiel'!$A$2:$A$83,0)),0)&gt;0,IFERROR(INDEX('Référentiel'!$D$2:$D$83,MATCH($C127,'Référentiel'!$A$2:$A$83,0)),0),"")))="","",IF(AND(IFERROR(INDEX('Référentiel'!$F$2:$F$83,MATCH($C127,'Référentiel'!$A$2:$A$83,0)),0)&gt;0,N($J127)&gt;0),MIN(IF($M127&lt;&gt;"",IF($L127&lt;&gt;"",MIN($L127,$M127),$M127),IF($L127&lt;&gt;"",$L127,IF(IFERROR(INDEX('Référentiel'!$D$2:$D$83,MATCH($C127,'Référentiel'!$A$2:$A$83,0)),0)&gt;0,IFERROR(INDEX('Référentiel'!$D$2:$D$83,MATCH($C127,'Référentiel'!$A$2:$A$83,0)),0),""))),IFERROR(INDEX('Référentiel'!$F$2:$F$83,MATCH($C127,'Référentiel'!$A$2:$A$83,0)),0)),IF($M127&lt;&gt;"",IF($L127&lt;&gt;"",MIN($L127,$M127),$M127),IF($L127&lt;&gt;"",$L127,IF(IFERROR(INDEX('Référentiel'!$D$2:$D$83,MATCH($C127,'Référentiel'!$A$2:$A$83,0)),0)&gt;0,IFERROR(INDEX('Référentiel'!$D$2:$D$83,MATCH($C127,'Référentiel'!$A$2:$A$83,0)),0),""))))))</f>
      </c>
      <c r="O127" s="9"/>
      <c r="P127" s="23"/>
      <c r="Q127" s="9"/>
      <c r="R127" s="24"/>
      <c r="S127" s="23"/>
      <c r="T127" s="23"/>
      <c r="U127" s="24"/>
      <c r="V127" s="20">
        <f>IF($C127="","",IFERROR(INDEX('Référentiel'!$K$2:$K$83,MATCH($C127,'Référentiel'!$A$2:$A$83,0)),""))</f>
      </c>
      <c r="W127" s="20">
        <f>IF(AND(ISNUMBER($G127),$I127&lt;&gt;"Hors service",$I127&lt;&gt;"Location terminée"),$G127+ROW()/100000,"")</f>
      </c>
      <c r="X127" s="9"/>
    </row>
    <row r="128" spans="1:24" x14ac:dyDescent="0.25">
      <c r="A128" s="9"/>
      <c r="B128" s="9"/>
      <c r="C128" s="9"/>
      <c r="D128" s="9"/>
      <c r="E128" s="19">
        <f>IF($A128="","",IF(SUMPRODUCT(MAX((Vérifications!$B$2:$B$1001=$A128)*Vérifications!$L$2:$L$1001))=0,"",SUMPRODUCT(MAX((Vérifications!$B$2:$B$1001=$A128)*Vérifications!$L$2:$L$1001))))</f>
      </c>
      <c r="F128" s="20">
        <f>IF($E128="","",IFERROR(INDEX(Vérifications!$E$2:$E$1001,MATCH($A128&amp;"|"&amp;$E128,Vérifications!$M$2:$M$1001,0)),""))</f>
      </c>
      <c r="G128" s="19">
        <f>IF($N128="","",IF(ISNUMBER($E128),EDATE($E128,$N128),IF(AND(ISNUMBER($U128),IFERROR(INDEX('Référentiel'!$E$2:$E$83,MATCH($C128,'Référentiel'!$A$2:$A$83,0)),0)&gt;0),EDATE($U128,IFERROR(INDEX('Référentiel'!$E$2:$E$83,MATCH($C128,'Référentiel'!$A$2:$A$83,0)),0)),"")))</f>
      </c>
      <c r="H128" s="21">
        <f>IF(ISNUMBER($G128),$G128-TODAY(),"")</f>
      </c>
      <c r="I128" s="20">
        <f>IF(AND($A128="",$C128=""),"",IF($T128="Non","Hors service",IF(AND($Q128="Location",ISNUMBER($R128),$R128&lt;TODAY()),"Location terminée",IF(OR($F128="Mise à l'arrêt",IF($A128="",0,SUMPRODUCT((Réserves!$B$2:$B$301=$A128)*(Réserves!$E$2:$E$301="Mise à l'arrêt")*(Réserves!$J$2:$J$301&lt;&gt;"Levée")*(Réserves!$J$2:$J$301&lt;&gt;"")))&gt;0),"Arrêt : réserve à lever",IF($C128="","Type à choisir",IF($N128="","Périodicité à saisir",IF(OR(ISTEXT($U128),ISTEXT($R128)),"Date à corriger",IF(AND($E128="",$Q128="Location",$S128&lt;&gt;"Oui"),"Rapport loueur à obtenir",IF(NOT(ISNUMBER($G128)),"Vérif. initiale à tracer",IF($H128&lt;0,"En retard",IF(AND($Q128="Location",$S128&lt;&gt;"Oui"),"Rapport loueur à obtenir",IF($H128&lt;='Tableau de bord'!$C$4,"À planifier","À jour"))))))))))))</f>
      </c>
      <c r="J128" s="22">
        <f>IF($A128="","",COUNTIFS(Réserves!$B$2:$B$301,$A128,Réserves!$J$2:$J$301,"Ouverte")+COUNTIFS(Réserves!$B$2:$B$301,$A128,Réserves!$J$2:$J$301,"En retard"))</f>
      </c>
      <c r="K128" s="20">
        <f>IF($C128="","",IFERROR(INDEX('Référentiel'!$B$2:$B$83,MATCH($C128,'Référentiel'!$A$2:$A$83,0)),"Type hors liste"))</f>
      </c>
      <c r="L128" s="22">
        <f>IF($C128="","",IF(IFERROR(INDEX('Référentiel'!$C$2:$C$83,MATCH($C128,'Référentiel'!$A$2:$A$83,0)),0)=0,"",IFERROR(INDEX('Référentiel'!$C$2:$C$83,MATCH($C128,'Référentiel'!$A$2:$A$83,0)),0)))</f>
      </c>
      <c r="M128" s="23"/>
      <c r="N128" s="22">
        <f>IF($C128="","",IF(IF($M128&lt;&gt;"",IF($L128&lt;&gt;"",MIN($L128,$M128),$M128),IF($L128&lt;&gt;"",$L128,IF(IFERROR(INDEX('Référentiel'!$D$2:$D$83,MATCH($C128,'Référentiel'!$A$2:$A$83,0)),0)&gt;0,IFERROR(INDEX('Référentiel'!$D$2:$D$83,MATCH($C128,'Référentiel'!$A$2:$A$83,0)),0),"")))="","",IF(AND(IFERROR(INDEX('Référentiel'!$F$2:$F$83,MATCH($C128,'Référentiel'!$A$2:$A$83,0)),0)&gt;0,N($J128)&gt;0),MIN(IF($M128&lt;&gt;"",IF($L128&lt;&gt;"",MIN($L128,$M128),$M128),IF($L128&lt;&gt;"",$L128,IF(IFERROR(INDEX('Référentiel'!$D$2:$D$83,MATCH($C128,'Référentiel'!$A$2:$A$83,0)),0)&gt;0,IFERROR(INDEX('Référentiel'!$D$2:$D$83,MATCH($C128,'Référentiel'!$A$2:$A$83,0)),0),""))),IFERROR(INDEX('Référentiel'!$F$2:$F$83,MATCH($C128,'Référentiel'!$A$2:$A$83,0)),0)),IF($M128&lt;&gt;"",IF($L128&lt;&gt;"",MIN($L128,$M128),$M128),IF($L128&lt;&gt;"",$L128,IF(IFERROR(INDEX('Référentiel'!$D$2:$D$83,MATCH($C128,'Référentiel'!$A$2:$A$83,0)),0)&gt;0,IFERROR(INDEX('Référentiel'!$D$2:$D$83,MATCH($C128,'Référentiel'!$A$2:$A$83,0)),0),""))))))</f>
      </c>
      <c r="O128" s="9"/>
      <c r="P128" s="23"/>
      <c r="Q128" s="9"/>
      <c r="R128" s="24"/>
      <c r="S128" s="23"/>
      <c r="T128" s="23"/>
      <c r="U128" s="24"/>
      <c r="V128" s="20">
        <f>IF($C128="","",IFERROR(INDEX('Référentiel'!$K$2:$K$83,MATCH($C128,'Référentiel'!$A$2:$A$83,0)),""))</f>
      </c>
      <c r="W128" s="20">
        <f>IF(AND(ISNUMBER($G128),$I128&lt;&gt;"Hors service",$I128&lt;&gt;"Location terminée"),$G128+ROW()/100000,"")</f>
      </c>
      <c r="X128" s="9"/>
    </row>
    <row r="129" spans="1:24" x14ac:dyDescent="0.25">
      <c r="A129" s="9"/>
      <c r="B129" s="9"/>
      <c r="C129" s="9"/>
      <c r="D129" s="9"/>
      <c r="E129" s="19">
        <f>IF($A129="","",IF(SUMPRODUCT(MAX((Vérifications!$B$2:$B$1001=$A129)*Vérifications!$L$2:$L$1001))=0,"",SUMPRODUCT(MAX((Vérifications!$B$2:$B$1001=$A129)*Vérifications!$L$2:$L$1001))))</f>
      </c>
      <c r="F129" s="20">
        <f>IF($E129="","",IFERROR(INDEX(Vérifications!$E$2:$E$1001,MATCH($A129&amp;"|"&amp;$E129,Vérifications!$M$2:$M$1001,0)),""))</f>
      </c>
      <c r="G129" s="19">
        <f>IF($N129="","",IF(ISNUMBER($E129),EDATE($E129,$N129),IF(AND(ISNUMBER($U129),IFERROR(INDEX('Référentiel'!$E$2:$E$83,MATCH($C129,'Référentiel'!$A$2:$A$83,0)),0)&gt;0),EDATE($U129,IFERROR(INDEX('Référentiel'!$E$2:$E$83,MATCH($C129,'Référentiel'!$A$2:$A$83,0)),0)),"")))</f>
      </c>
      <c r="H129" s="21">
        <f>IF(ISNUMBER($G129),$G129-TODAY(),"")</f>
      </c>
      <c r="I129" s="20">
        <f>IF(AND($A129="",$C129=""),"",IF($T129="Non","Hors service",IF(AND($Q129="Location",ISNUMBER($R129),$R129&lt;TODAY()),"Location terminée",IF(OR($F129="Mise à l'arrêt",IF($A129="",0,SUMPRODUCT((Réserves!$B$2:$B$301=$A129)*(Réserves!$E$2:$E$301="Mise à l'arrêt")*(Réserves!$J$2:$J$301&lt;&gt;"Levée")*(Réserves!$J$2:$J$301&lt;&gt;"")))&gt;0),"Arrêt : réserve à lever",IF($C129="","Type à choisir",IF($N129="","Périodicité à saisir",IF(OR(ISTEXT($U129),ISTEXT($R129)),"Date à corriger",IF(AND($E129="",$Q129="Location",$S129&lt;&gt;"Oui"),"Rapport loueur à obtenir",IF(NOT(ISNUMBER($G129)),"Vérif. initiale à tracer",IF($H129&lt;0,"En retard",IF(AND($Q129="Location",$S129&lt;&gt;"Oui"),"Rapport loueur à obtenir",IF($H129&lt;='Tableau de bord'!$C$4,"À planifier","À jour"))))))))))))</f>
      </c>
      <c r="J129" s="22">
        <f>IF($A129="","",COUNTIFS(Réserves!$B$2:$B$301,$A129,Réserves!$J$2:$J$301,"Ouverte")+COUNTIFS(Réserves!$B$2:$B$301,$A129,Réserves!$J$2:$J$301,"En retard"))</f>
      </c>
      <c r="K129" s="20">
        <f>IF($C129="","",IFERROR(INDEX('Référentiel'!$B$2:$B$83,MATCH($C129,'Référentiel'!$A$2:$A$83,0)),"Type hors liste"))</f>
      </c>
      <c r="L129" s="22">
        <f>IF($C129="","",IF(IFERROR(INDEX('Référentiel'!$C$2:$C$83,MATCH($C129,'Référentiel'!$A$2:$A$83,0)),0)=0,"",IFERROR(INDEX('Référentiel'!$C$2:$C$83,MATCH($C129,'Référentiel'!$A$2:$A$83,0)),0)))</f>
      </c>
      <c r="M129" s="23"/>
      <c r="N129" s="22">
        <f>IF($C129="","",IF(IF($M129&lt;&gt;"",IF($L129&lt;&gt;"",MIN($L129,$M129),$M129),IF($L129&lt;&gt;"",$L129,IF(IFERROR(INDEX('Référentiel'!$D$2:$D$83,MATCH($C129,'Référentiel'!$A$2:$A$83,0)),0)&gt;0,IFERROR(INDEX('Référentiel'!$D$2:$D$83,MATCH($C129,'Référentiel'!$A$2:$A$83,0)),0),"")))="","",IF(AND(IFERROR(INDEX('Référentiel'!$F$2:$F$83,MATCH($C129,'Référentiel'!$A$2:$A$83,0)),0)&gt;0,N($J129)&gt;0),MIN(IF($M129&lt;&gt;"",IF($L129&lt;&gt;"",MIN($L129,$M129),$M129),IF($L129&lt;&gt;"",$L129,IF(IFERROR(INDEX('Référentiel'!$D$2:$D$83,MATCH($C129,'Référentiel'!$A$2:$A$83,0)),0)&gt;0,IFERROR(INDEX('Référentiel'!$D$2:$D$83,MATCH($C129,'Référentiel'!$A$2:$A$83,0)),0),""))),IFERROR(INDEX('Référentiel'!$F$2:$F$83,MATCH($C129,'Référentiel'!$A$2:$A$83,0)),0)),IF($M129&lt;&gt;"",IF($L129&lt;&gt;"",MIN($L129,$M129),$M129),IF($L129&lt;&gt;"",$L129,IF(IFERROR(INDEX('Référentiel'!$D$2:$D$83,MATCH($C129,'Référentiel'!$A$2:$A$83,0)),0)&gt;0,IFERROR(INDEX('Référentiel'!$D$2:$D$83,MATCH($C129,'Référentiel'!$A$2:$A$83,0)),0),""))))))</f>
      </c>
      <c r="O129" s="9"/>
      <c r="P129" s="23"/>
      <c r="Q129" s="9"/>
      <c r="R129" s="24"/>
      <c r="S129" s="23"/>
      <c r="T129" s="23"/>
      <c r="U129" s="24"/>
      <c r="V129" s="20">
        <f>IF($C129="","",IFERROR(INDEX('Référentiel'!$K$2:$K$83,MATCH($C129,'Référentiel'!$A$2:$A$83,0)),""))</f>
      </c>
      <c r="W129" s="20">
        <f>IF(AND(ISNUMBER($G129),$I129&lt;&gt;"Hors service",$I129&lt;&gt;"Location terminée"),$G129+ROW()/100000,"")</f>
      </c>
      <c r="X129" s="9"/>
    </row>
    <row r="130" spans="1:24" x14ac:dyDescent="0.25">
      <c r="A130" s="9"/>
      <c r="B130" s="9"/>
      <c r="C130" s="9"/>
      <c r="D130" s="9"/>
      <c r="E130" s="19">
        <f>IF($A130="","",IF(SUMPRODUCT(MAX((Vérifications!$B$2:$B$1001=$A130)*Vérifications!$L$2:$L$1001))=0,"",SUMPRODUCT(MAX((Vérifications!$B$2:$B$1001=$A130)*Vérifications!$L$2:$L$1001))))</f>
      </c>
      <c r="F130" s="20">
        <f>IF($E130="","",IFERROR(INDEX(Vérifications!$E$2:$E$1001,MATCH($A130&amp;"|"&amp;$E130,Vérifications!$M$2:$M$1001,0)),""))</f>
      </c>
      <c r="G130" s="19">
        <f>IF($N130="","",IF(ISNUMBER($E130),EDATE($E130,$N130),IF(AND(ISNUMBER($U130),IFERROR(INDEX('Référentiel'!$E$2:$E$83,MATCH($C130,'Référentiel'!$A$2:$A$83,0)),0)&gt;0),EDATE($U130,IFERROR(INDEX('Référentiel'!$E$2:$E$83,MATCH($C130,'Référentiel'!$A$2:$A$83,0)),0)),"")))</f>
      </c>
      <c r="H130" s="21">
        <f>IF(ISNUMBER($G130),$G130-TODAY(),"")</f>
      </c>
      <c r="I130" s="20">
        <f>IF(AND($A130="",$C130=""),"",IF($T130="Non","Hors service",IF(AND($Q130="Location",ISNUMBER($R130),$R130&lt;TODAY()),"Location terminée",IF(OR($F130="Mise à l'arrêt",IF($A130="",0,SUMPRODUCT((Réserves!$B$2:$B$301=$A130)*(Réserves!$E$2:$E$301="Mise à l'arrêt")*(Réserves!$J$2:$J$301&lt;&gt;"Levée")*(Réserves!$J$2:$J$301&lt;&gt;"")))&gt;0),"Arrêt : réserve à lever",IF($C130="","Type à choisir",IF($N130="","Périodicité à saisir",IF(OR(ISTEXT($U130),ISTEXT($R130)),"Date à corriger",IF(AND($E130="",$Q130="Location",$S130&lt;&gt;"Oui"),"Rapport loueur à obtenir",IF(NOT(ISNUMBER($G130)),"Vérif. initiale à tracer",IF($H130&lt;0,"En retard",IF(AND($Q130="Location",$S130&lt;&gt;"Oui"),"Rapport loueur à obtenir",IF($H130&lt;='Tableau de bord'!$C$4,"À planifier","À jour"))))))))))))</f>
      </c>
      <c r="J130" s="22">
        <f>IF($A130="","",COUNTIFS(Réserves!$B$2:$B$301,$A130,Réserves!$J$2:$J$301,"Ouverte")+COUNTIFS(Réserves!$B$2:$B$301,$A130,Réserves!$J$2:$J$301,"En retard"))</f>
      </c>
      <c r="K130" s="20">
        <f>IF($C130="","",IFERROR(INDEX('Référentiel'!$B$2:$B$83,MATCH($C130,'Référentiel'!$A$2:$A$83,0)),"Type hors liste"))</f>
      </c>
      <c r="L130" s="22">
        <f>IF($C130="","",IF(IFERROR(INDEX('Référentiel'!$C$2:$C$83,MATCH($C130,'Référentiel'!$A$2:$A$83,0)),0)=0,"",IFERROR(INDEX('Référentiel'!$C$2:$C$83,MATCH($C130,'Référentiel'!$A$2:$A$83,0)),0)))</f>
      </c>
      <c r="M130" s="23"/>
      <c r="N130" s="22">
        <f>IF($C130="","",IF(IF($M130&lt;&gt;"",IF($L130&lt;&gt;"",MIN($L130,$M130),$M130),IF($L130&lt;&gt;"",$L130,IF(IFERROR(INDEX('Référentiel'!$D$2:$D$83,MATCH($C130,'Référentiel'!$A$2:$A$83,0)),0)&gt;0,IFERROR(INDEX('Référentiel'!$D$2:$D$83,MATCH($C130,'Référentiel'!$A$2:$A$83,0)),0),"")))="","",IF(AND(IFERROR(INDEX('Référentiel'!$F$2:$F$83,MATCH($C130,'Référentiel'!$A$2:$A$83,0)),0)&gt;0,N($J130)&gt;0),MIN(IF($M130&lt;&gt;"",IF($L130&lt;&gt;"",MIN($L130,$M130),$M130),IF($L130&lt;&gt;"",$L130,IF(IFERROR(INDEX('Référentiel'!$D$2:$D$83,MATCH($C130,'Référentiel'!$A$2:$A$83,0)),0)&gt;0,IFERROR(INDEX('Référentiel'!$D$2:$D$83,MATCH($C130,'Référentiel'!$A$2:$A$83,0)),0),""))),IFERROR(INDEX('Référentiel'!$F$2:$F$83,MATCH($C130,'Référentiel'!$A$2:$A$83,0)),0)),IF($M130&lt;&gt;"",IF($L130&lt;&gt;"",MIN($L130,$M130),$M130),IF($L130&lt;&gt;"",$L130,IF(IFERROR(INDEX('Référentiel'!$D$2:$D$83,MATCH($C130,'Référentiel'!$A$2:$A$83,0)),0)&gt;0,IFERROR(INDEX('Référentiel'!$D$2:$D$83,MATCH($C130,'Référentiel'!$A$2:$A$83,0)),0),""))))))</f>
      </c>
      <c r="O130" s="9"/>
      <c r="P130" s="23"/>
      <c r="Q130" s="9"/>
      <c r="R130" s="24"/>
      <c r="S130" s="23"/>
      <c r="T130" s="23"/>
      <c r="U130" s="24"/>
      <c r="V130" s="20">
        <f>IF($C130="","",IFERROR(INDEX('Référentiel'!$K$2:$K$83,MATCH($C130,'Référentiel'!$A$2:$A$83,0)),""))</f>
      </c>
      <c r="W130" s="20">
        <f>IF(AND(ISNUMBER($G130),$I130&lt;&gt;"Hors service",$I130&lt;&gt;"Location terminée"),$G130+ROW()/100000,"")</f>
      </c>
      <c r="X130" s="9"/>
    </row>
    <row r="131" spans="1:24" x14ac:dyDescent="0.25">
      <c r="A131" s="9"/>
      <c r="B131" s="9"/>
      <c r="C131" s="9"/>
      <c r="D131" s="9"/>
      <c r="E131" s="19">
        <f>IF($A131="","",IF(SUMPRODUCT(MAX((Vérifications!$B$2:$B$1001=$A131)*Vérifications!$L$2:$L$1001))=0,"",SUMPRODUCT(MAX((Vérifications!$B$2:$B$1001=$A131)*Vérifications!$L$2:$L$1001))))</f>
      </c>
      <c r="F131" s="20">
        <f>IF($E131="","",IFERROR(INDEX(Vérifications!$E$2:$E$1001,MATCH($A131&amp;"|"&amp;$E131,Vérifications!$M$2:$M$1001,0)),""))</f>
      </c>
      <c r="G131" s="19">
        <f>IF($N131="","",IF(ISNUMBER($E131),EDATE($E131,$N131),IF(AND(ISNUMBER($U131),IFERROR(INDEX('Référentiel'!$E$2:$E$83,MATCH($C131,'Référentiel'!$A$2:$A$83,0)),0)&gt;0),EDATE($U131,IFERROR(INDEX('Référentiel'!$E$2:$E$83,MATCH($C131,'Référentiel'!$A$2:$A$83,0)),0)),"")))</f>
      </c>
      <c r="H131" s="21">
        <f>IF(ISNUMBER($G131),$G131-TODAY(),"")</f>
      </c>
      <c r="I131" s="20">
        <f>IF(AND($A131="",$C131=""),"",IF($T131="Non","Hors service",IF(AND($Q131="Location",ISNUMBER($R131),$R131&lt;TODAY()),"Location terminée",IF(OR($F131="Mise à l'arrêt",IF($A131="",0,SUMPRODUCT((Réserves!$B$2:$B$301=$A131)*(Réserves!$E$2:$E$301="Mise à l'arrêt")*(Réserves!$J$2:$J$301&lt;&gt;"Levée")*(Réserves!$J$2:$J$301&lt;&gt;"")))&gt;0),"Arrêt : réserve à lever",IF($C131="","Type à choisir",IF($N131="","Périodicité à saisir",IF(OR(ISTEXT($U131),ISTEXT($R131)),"Date à corriger",IF(AND($E131="",$Q131="Location",$S131&lt;&gt;"Oui"),"Rapport loueur à obtenir",IF(NOT(ISNUMBER($G131)),"Vérif. initiale à tracer",IF($H131&lt;0,"En retard",IF(AND($Q131="Location",$S131&lt;&gt;"Oui"),"Rapport loueur à obtenir",IF($H131&lt;='Tableau de bord'!$C$4,"À planifier","À jour"))))))))))))</f>
      </c>
      <c r="J131" s="22">
        <f>IF($A131="","",COUNTIFS(Réserves!$B$2:$B$301,$A131,Réserves!$J$2:$J$301,"Ouverte")+COUNTIFS(Réserves!$B$2:$B$301,$A131,Réserves!$J$2:$J$301,"En retard"))</f>
      </c>
      <c r="K131" s="20">
        <f>IF($C131="","",IFERROR(INDEX('Référentiel'!$B$2:$B$83,MATCH($C131,'Référentiel'!$A$2:$A$83,0)),"Type hors liste"))</f>
      </c>
      <c r="L131" s="22">
        <f>IF($C131="","",IF(IFERROR(INDEX('Référentiel'!$C$2:$C$83,MATCH($C131,'Référentiel'!$A$2:$A$83,0)),0)=0,"",IFERROR(INDEX('Référentiel'!$C$2:$C$83,MATCH($C131,'Référentiel'!$A$2:$A$83,0)),0)))</f>
      </c>
      <c r="M131" s="23"/>
      <c r="N131" s="22">
        <f>IF($C131="","",IF(IF($M131&lt;&gt;"",IF($L131&lt;&gt;"",MIN($L131,$M131),$M131),IF($L131&lt;&gt;"",$L131,IF(IFERROR(INDEX('Référentiel'!$D$2:$D$83,MATCH($C131,'Référentiel'!$A$2:$A$83,0)),0)&gt;0,IFERROR(INDEX('Référentiel'!$D$2:$D$83,MATCH($C131,'Référentiel'!$A$2:$A$83,0)),0),"")))="","",IF(AND(IFERROR(INDEX('Référentiel'!$F$2:$F$83,MATCH($C131,'Référentiel'!$A$2:$A$83,0)),0)&gt;0,N($J131)&gt;0),MIN(IF($M131&lt;&gt;"",IF($L131&lt;&gt;"",MIN($L131,$M131),$M131),IF($L131&lt;&gt;"",$L131,IF(IFERROR(INDEX('Référentiel'!$D$2:$D$83,MATCH($C131,'Référentiel'!$A$2:$A$83,0)),0)&gt;0,IFERROR(INDEX('Référentiel'!$D$2:$D$83,MATCH($C131,'Référentiel'!$A$2:$A$83,0)),0),""))),IFERROR(INDEX('Référentiel'!$F$2:$F$83,MATCH($C131,'Référentiel'!$A$2:$A$83,0)),0)),IF($M131&lt;&gt;"",IF($L131&lt;&gt;"",MIN($L131,$M131),$M131),IF($L131&lt;&gt;"",$L131,IF(IFERROR(INDEX('Référentiel'!$D$2:$D$83,MATCH($C131,'Référentiel'!$A$2:$A$83,0)),0)&gt;0,IFERROR(INDEX('Référentiel'!$D$2:$D$83,MATCH($C131,'Référentiel'!$A$2:$A$83,0)),0),""))))))</f>
      </c>
      <c r="O131" s="9"/>
      <c r="P131" s="23"/>
      <c r="Q131" s="9"/>
      <c r="R131" s="24"/>
      <c r="S131" s="23"/>
      <c r="T131" s="23"/>
      <c r="U131" s="24"/>
      <c r="V131" s="20">
        <f>IF($C131="","",IFERROR(INDEX('Référentiel'!$K$2:$K$83,MATCH($C131,'Référentiel'!$A$2:$A$83,0)),""))</f>
      </c>
      <c r="W131" s="20">
        <f>IF(AND(ISNUMBER($G131),$I131&lt;&gt;"Hors service",$I131&lt;&gt;"Location terminée"),$G131+ROW()/100000,"")</f>
      </c>
      <c r="X131" s="9"/>
    </row>
    <row r="132" spans="1:24" x14ac:dyDescent="0.25">
      <c r="A132" s="9"/>
      <c r="B132" s="9"/>
      <c r="C132" s="9"/>
      <c r="D132" s="9"/>
      <c r="E132" s="19">
        <f>IF($A132="","",IF(SUMPRODUCT(MAX((Vérifications!$B$2:$B$1001=$A132)*Vérifications!$L$2:$L$1001))=0,"",SUMPRODUCT(MAX((Vérifications!$B$2:$B$1001=$A132)*Vérifications!$L$2:$L$1001))))</f>
      </c>
      <c r="F132" s="20">
        <f>IF($E132="","",IFERROR(INDEX(Vérifications!$E$2:$E$1001,MATCH($A132&amp;"|"&amp;$E132,Vérifications!$M$2:$M$1001,0)),""))</f>
      </c>
      <c r="G132" s="19">
        <f>IF($N132="","",IF(ISNUMBER($E132),EDATE($E132,$N132),IF(AND(ISNUMBER($U132),IFERROR(INDEX('Référentiel'!$E$2:$E$83,MATCH($C132,'Référentiel'!$A$2:$A$83,0)),0)&gt;0),EDATE($U132,IFERROR(INDEX('Référentiel'!$E$2:$E$83,MATCH($C132,'Référentiel'!$A$2:$A$83,0)),0)),"")))</f>
      </c>
      <c r="H132" s="21">
        <f>IF(ISNUMBER($G132),$G132-TODAY(),"")</f>
      </c>
      <c r="I132" s="20">
        <f>IF(AND($A132="",$C132=""),"",IF($T132="Non","Hors service",IF(AND($Q132="Location",ISNUMBER($R132),$R132&lt;TODAY()),"Location terminée",IF(OR($F132="Mise à l'arrêt",IF($A132="",0,SUMPRODUCT((Réserves!$B$2:$B$301=$A132)*(Réserves!$E$2:$E$301="Mise à l'arrêt")*(Réserves!$J$2:$J$301&lt;&gt;"Levée")*(Réserves!$J$2:$J$301&lt;&gt;"")))&gt;0),"Arrêt : réserve à lever",IF($C132="","Type à choisir",IF($N132="","Périodicité à saisir",IF(OR(ISTEXT($U132),ISTEXT($R132)),"Date à corriger",IF(AND($E132="",$Q132="Location",$S132&lt;&gt;"Oui"),"Rapport loueur à obtenir",IF(NOT(ISNUMBER($G132)),"Vérif. initiale à tracer",IF($H132&lt;0,"En retard",IF(AND($Q132="Location",$S132&lt;&gt;"Oui"),"Rapport loueur à obtenir",IF($H132&lt;='Tableau de bord'!$C$4,"À planifier","À jour"))))))))))))</f>
      </c>
      <c r="J132" s="22">
        <f>IF($A132="","",COUNTIFS(Réserves!$B$2:$B$301,$A132,Réserves!$J$2:$J$301,"Ouverte")+COUNTIFS(Réserves!$B$2:$B$301,$A132,Réserves!$J$2:$J$301,"En retard"))</f>
      </c>
      <c r="K132" s="20">
        <f>IF($C132="","",IFERROR(INDEX('Référentiel'!$B$2:$B$83,MATCH($C132,'Référentiel'!$A$2:$A$83,0)),"Type hors liste"))</f>
      </c>
      <c r="L132" s="22">
        <f>IF($C132="","",IF(IFERROR(INDEX('Référentiel'!$C$2:$C$83,MATCH($C132,'Référentiel'!$A$2:$A$83,0)),0)=0,"",IFERROR(INDEX('Référentiel'!$C$2:$C$83,MATCH($C132,'Référentiel'!$A$2:$A$83,0)),0)))</f>
      </c>
      <c r="M132" s="23"/>
      <c r="N132" s="22">
        <f>IF($C132="","",IF(IF($M132&lt;&gt;"",IF($L132&lt;&gt;"",MIN($L132,$M132),$M132),IF($L132&lt;&gt;"",$L132,IF(IFERROR(INDEX('Référentiel'!$D$2:$D$83,MATCH($C132,'Référentiel'!$A$2:$A$83,0)),0)&gt;0,IFERROR(INDEX('Référentiel'!$D$2:$D$83,MATCH($C132,'Référentiel'!$A$2:$A$83,0)),0),"")))="","",IF(AND(IFERROR(INDEX('Référentiel'!$F$2:$F$83,MATCH($C132,'Référentiel'!$A$2:$A$83,0)),0)&gt;0,N($J132)&gt;0),MIN(IF($M132&lt;&gt;"",IF($L132&lt;&gt;"",MIN($L132,$M132),$M132),IF($L132&lt;&gt;"",$L132,IF(IFERROR(INDEX('Référentiel'!$D$2:$D$83,MATCH($C132,'Référentiel'!$A$2:$A$83,0)),0)&gt;0,IFERROR(INDEX('Référentiel'!$D$2:$D$83,MATCH($C132,'Référentiel'!$A$2:$A$83,0)),0),""))),IFERROR(INDEX('Référentiel'!$F$2:$F$83,MATCH($C132,'Référentiel'!$A$2:$A$83,0)),0)),IF($M132&lt;&gt;"",IF($L132&lt;&gt;"",MIN($L132,$M132),$M132),IF($L132&lt;&gt;"",$L132,IF(IFERROR(INDEX('Référentiel'!$D$2:$D$83,MATCH($C132,'Référentiel'!$A$2:$A$83,0)),0)&gt;0,IFERROR(INDEX('Référentiel'!$D$2:$D$83,MATCH($C132,'Référentiel'!$A$2:$A$83,0)),0),""))))))</f>
      </c>
      <c r="O132" s="9"/>
      <c r="P132" s="23"/>
      <c r="Q132" s="9"/>
      <c r="R132" s="24"/>
      <c r="S132" s="23"/>
      <c r="T132" s="23"/>
      <c r="U132" s="24"/>
      <c r="V132" s="20">
        <f>IF($C132="","",IFERROR(INDEX('Référentiel'!$K$2:$K$83,MATCH($C132,'Référentiel'!$A$2:$A$83,0)),""))</f>
      </c>
      <c r="W132" s="20">
        <f>IF(AND(ISNUMBER($G132),$I132&lt;&gt;"Hors service",$I132&lt;&gt;"Location terminée"),$G132+ROW()/100000,"")</f>
      </c>
      <c r="X132" s="9"/>
    </row>
    <row r="133" spans="1:24" x14ac:dyDescent="0.25">
      <c r="A133" s="9"/>
      <c r="B133" s="9"/>
      <c r="C133" s="9"/>
      <c r="D133" s="9"/>
      <c r="E133" s="19">
        <f>IF($A133="","",IF(SUMPRODUCT(MAX((Vérifications!$B$2:$B$1001=$A133)*Vérifications!$L$2:$L$1001))=0,"",SUMPRODUCT(MAX((Vérifications!$B$2:$B$1001=$A133)*Vérifications!$L$2:$L$1001))))</f>
      </c>
      <c r="F133" s="20">
        <f>IF($E133="","",IFERROR(INDEX(Vérifications!$E$2:$E$1001,MATCH($A133&amp;"|"&amp;$E133,Vérifications!$M$2:$M$1001,0)),""))</f>
      </c>
      <c r="G133" s="19">
        <f>IF($N133="","",IF(ISNUMBER($E133),EDATE($E133,$N133),IF(AND(ISNUMBER($U133),IFERROR(INDEX('Référentiel'!$E$2:$E$83,MATCH($C133,'Référentiel'!$A$2:$A$83,0)),0)&gt;0),EDATE($U133,IFERROR(INDEX('Référentiel'!$E$2:$E$83,MATCH($C133,'Référentiel'!$A$2:$A$83,0)),0)),"")))</f>
      </c>
      <c r="H133" s="21">
        <f>IF(ISNUMBER($G133),$G133-TODAY(),"")</f>
      </c>
      <c r="I133" s="20">
        <f>IF(AND($A133="",$C133=""),"",IF($T133="Non","Hors service",IF(AND($Q133="Location",ISNUMBER($R133),$R133&lt;TODAY()),"Location terminée",IF(OR($F133="Mise à l'arrêt",IF($A133="",0,SUMPRODUCT((Réserves!$B$2:$B$301=$A133)*(Réserves!$E$2:$E$301="Mise à l'arrêt")*(Réserves!$J$2:$J$301&lt;&gt;"Levée")*(Réserves!$J$2:$J$301&lt;&gt;"")))&gt;0),"Arrêt : réserve à lever",IF($C133="","Type à choisir",IF($N133="","Périodicité à saisir",IF(OR(ISTEXT($U133),ISTEXT($R133)),"Date à corriger",IF(AND($E133="",$Q133="Location",$S133&lt;&gt;"Oui"),"Rapport loueur à obtenir",IF(NOT(ISNUMBER($G133)),"Vérif. initiale à tracer",IF($H133&lt;0,"En retard",IF(AND($Q133="Location",$S133&lt;&gt;"Oui"),"Rapport loueur à obtenir",IF($H133&lt;='Tableau de bord'!$C$4,"À planifier","À jour"))))))))))))</f>
      </c>
      <c r="J133" s="22">
        <f>IF($A133="","",COUNTIFS(Réserves!$B$2:$B$301,$A133,Réserves!$J$2:$J$301,"Ouverte")+COUNTIFS(Réserves!$B$2:$B$301,$A133,Réserves!$J$2:$J$301,"En retard"))</f>
      </c>
      <c r="K133" s="20">
        <f>IF($C133="","",IFERROR(INDEX('Référentiel'!$B$2:$B$83,MATCH($C133,'Référentiel'!$A$2:$A$83,0)),"Type hors liste"))</f>
      </c>
      <c r="L133" s="22">
        <f>IF($C133="","",IF(IFERROR(INDEX('Référentiel'!$C$2:$C$83,MATCH($C133,'Référentiel'!$A$2:$A$83,0)),0)=0,"",IFERROR(INDEX('Référentiel'!$C$2:$C$83,MATCH($C133,'Référentiel'!$A$2:$A$83,0)),0)))</f>
      </c>
      <c r="M133" s="23"/>
      <c r="N133" s="22">
        <f>IF($C133="","",IF(IF($M133&lt;&gt;"",IF($L133&lt;&gt;"",MIN($L133,$M133),$M133),IF($L133&lt;&gt;"",$L133,IF(IFERROR(INDEX('Référentiel'!$D$2:$D$83,MATCH($C133,'Référentiel'!$A$2:$A$83,0)),0)&gt;0,IFERROR(INDEX('Référentiel'!$D$2:$D$83,MATCH($C133,'Référentiel'!$A$2:$A$83,0)),0),"")))="","",IF(AND(IFERROR(INDEX('Référentiel'!$F$2:$F$83,MATCH($C133,'Référentiel'!$A$2:$A$83,0)),0)&gt;0,N($J133)&gt;0),MIN(IF($M133&lt;&gt;"",IF($L133&lt;&gt;"",MIN($L133,$M133),$M133),IF($L133&lt;&gt;"",$L133,IF(IFERROR(INDEX('Référentiel'!$D$2:$D$83,MATCH($C133,'Référentiel'!$A$2:$A$83,0)),0)&gt;0,IFERROR(INDEX('Référentiel'!$D$2:$D$83,MATCH($C133,'Référentiel'!$A$2:$A$83,0)),0),""))),IFERROR(INDEX('Référentiel'!$F$2:$F$83,MATCH($C133,'Référentiel'!$A$2:$A$83,0)),0)),IF($M133&lt;&gt;"",IF($L133&lt;&gt;"",MIN($L133,$M133),$M133),IF($L133&lt;&gt;"",$L133,IF(IFERROR(INDEX('Référentiel'!$D$2:$D$83,MATCH($C133,'Référentiel'!$A$2:$A$83,0)),0)&gt;0,IFERROR(INDEX('Référentiel'!$D$2:$D$83,MATCH($C133,'Référentiel'!$A$2:$A$83,0)),0),""))))))</f>
      </c>
      <c r="O133" s="9"/>
      <c r="P133" s="23"/>
      <c r="Q133" s="9"/>
      <c r="R133" s="24"/>
      <c r="S133" s="23"/>
      <c r="T133" s="23"/>
      <c r="U133" s="24"/>
      <c r="V133" s="20">
        <f>IF($C133="","",IFERROR(INDEX('Référentiel'!$K$2:$K$83,MATCH($C133,'Référentiel'!$A$2:$A$83,0)),""))</f>
      </c>
      <c r="W133" s="20">
        <f>IF(AND(ISNUMBER($G133),$I133&lt;&gt;"Hors service",$I133&lt;&gt;"Location terminée"),$G133+ROW()/100000,"")</f>
      </c>
      <c r="X133" s="9"/>
    </row>
    <row r="134" spans="1:24" x14ac:dyDescent="0.25">
      <c r="A134" s="9"/>
      <c r="B134" s="9"/>
      <c r="C134" s="9"/>
      <c r="D134" s="9"/>
      <c r="E134" s="19">
        <f>IF($A134="","",IF(SUMPRODUCT(MAX((Vérifications!$B$2:$B$1001=$A134)*Vérifications!$L$2:$L$1001))=0,"",SUMPRODUCT(MAX((Vérifications!$B$2:$B$1001=$A134)*Vérifications!$L$2:$L$1001))))</f>
      </c>
      <c r="F134" s="20">
        <f>IF($E134="","",IFERROR(INDEX(Vérifications!$E$2:$E$1001,MATCH($A134&amp;"|"&amp;$E134,Vérifications!$M$2:$M$1001,0)),""))</f>
      </c>
      <c r="G134" s="19">
        <f>IF($N134="","",IF(ISNUMBER($E134),EDATE($E134,$N134),IF(AND(ISNUMBER($U134),IFERROR(INDEX('Référentiel'!$E$2:$E$83,MATCH($C134,'Référentiel'!$A$2:$A$83,0)),0)&gt;0),EDATE($U134,IFERROR(INDEX('Référentiel'!$E$2:$E$83,MATCH($C134,'Référentiel'!$A$2:$A$83,0)),0)),"")))</f>
      </c>
      <c r="H134" s="21">
        <f>IF(ISNUMBER($G134),$G134-TODAY(),"")</f>
      </c>
      <c r="I134" s="20">
        <f>IF(AND($A134="",$C134=""),"",IF($T134="Non","Hors service",IF(AND($Q134="Location",ISNUMBER($R134),$R134&lt;TODAY()),"Location terminée",IF(OR($F134="Mise à l'arrêt",IF($A134="",0,SUMPRODUCT((Réserves!$B$2:$B$301=$A134)*(Réserves!$E$2:$E$301="Mise à l'arrêt")*(Réserves!$J$2:$J$301&lt;&gt;"Levée")*(Réserves!$J$2:$J$301&lt;&gt;"")))&gt;0),"Arrêt : réserve à lever",IF($C134="","Type à choisir",IF($N134="","Périodicité à saisir",IF(OR(ISTEXT($U134),ISTEXT($R134)),"Date à corriger",IF(AND($E134="",$Q134="Location",$S134&lt;&gt;"Oui"),"Rapport loueur à obtenir",IF(NOT(ISNUMBER($G134)),"Vérif. initiale à tracer",IF($H134&lt;0,"En retard",IF(AND($Q134="Location",$S134&lt;&gt;"Oui"),"Rapport loueur à obtenir",IF($H134&lt;='Tableau de bord'!$C$4,"À planifier","À jour"))))))))))))</f>
      </c>
      <c r="J134" s="22">
        <f>IF($A134="","",COUNTIFS(Réserves!$B$2:$B$301,$A134,Réserves!$J$2:$J$301,"Ouverte")+COUNTIFS(Réserves!$B$2:$B$301,$A134,Réserves!$J$2:$J$301,"En retard"))</f>
      </c>
      <c r="K134" s="20">
        <f>IF($C134="","",IFERROR(INDEX('Référentiel'!$B$2:$B$83,MATCH($C134,'Référentiel'!$A$2:$A$83,0)),"Type hors liste"))</f>
      </c>
      <c r="L134" s="22">
        <f>IF($C134="","",IF(IFERROR(INDEX('Référentiel'!$C$2:$C$83,MATCH($C134,'Référentiel'!$A$2:$A$83,0)),0)=0,"",IFERROR(INDEX('Référentiel'!$C$2:$C$83,MATCH($C134,'Référentiel'!$A$2:$A$83,0)),0)))</f>
      </c>
      <c r="M134" s="23"/>
      <c r="N134" s="22">
        <f>IF($C134="","",IF(IF($M134&lt;&gt;"",IF($L134&lt;&gt;"",MIN($L134,$M134),$M134),IF($L134&lt;&gt;"",$L134,IF(IFERROR(INDEX('Référentiel'!$D$2:$D$83,MATCH($C134,'Référentiel'!$A$2:$A$83,0)),0)&gt;0,IFERROR(INDEX('Référentiel'!$D$2:$D$83,MATCH($C134,'Référentiel'!$A$2:$A$83,0)),0),"")))="","",IF(AND(IFERROR(INDEX('Référentiel'!$F$2:$F$83,MATCH($C134,'Référentiel'!$A$2:$A$83,0)),0)&gt;0,N($J134)&gt;0),MIN(IF($M134&lt;&gt;"",IF($L134&lt;&gt;"",MIN($L134,$M134),$M134),IF($L134&lt;&gt;"",$L134,IF(IFERROR(INDEX('Référentiel'!$D$2:$D$83,MATCH($C134,'Référentiel'!$A$2:$A$83,0)),0)&gt;0,IFERROR(INDEX('Référentiel'!$D$2:$D$83,MATCH($C134,'Référentiel'!$A$2:$A$83,0)),0),""))),IFERROR(INDEX('Référentiel'!$F$2:$F$83,MATCH($C134,'Référentiel'!$A$2:$A$83,0)),0)),IF($M134&lt;&gt;"",IF($L134&lt;&gt;"",MIN($L134,$M134),$M134),IF($L134&lt;&gt;"",$L134,IF(IFERROR(INDEX('Référentiel'!$D$2:$D$83,MATCH($C134,'Référentiel'!$A$2:$A$83,0)),0)&gt;0,IFERROR(INDEX('Référentiel'!$D$2:$D$83,MATCH($C134,'Référentiel'!$A$2:$A$83,0)),0),""))))))</f>
      </c>
      <c r="O134" s="9"/>
      <c r="P134" s="23"/>
      <c r="Q134" s="9"/>
      <c r="R134" s="24"/>
      <c r="S134" s="23"/>
      <c r="T134" s="23"/>
      <c r="U134" s="24"/>
      <c r="V134" s="20">
        <f>IF($C134="","",IFERROR(INDEX('Référentiel'!$K$2:$K$83,MATCH($C134,'Référentiel'!$A$2:$A$83,0)),""))</f>
      </c>
      <c r="W134" s="20">
        <f>IF(AND(ISNUMBER($G134),$I134&lt;&gt;"Hors service",$I134&lt;&gt;"Location terminée"),$G134+ROW()/100000,"")</f>
      </c>
      <c r="X134" s="9"/>
    </row>
    <row r="135" spans="1:24" x14ac:dyDescent="0.25">
      <c r="A135" s="9"/>
      <c r="B135" s="9"/>
      <c r="C135" s="9"/>
      <c r="D135" s="9"/>
      <c r="E135" s="19">
        <f>IF($A135="","",IF(SUMPRODUCT(MAX((Vérifications!$B$2:$B$1001=$A135)*Vérifications!$L$2:$L$1001))=0,"",SUMPRODUCT(MAX((Vérifications!$B$2:$B$1001=$A135)*Vérifications!$L$2:$L$1001))))</f>
      </c>
      <c r="F135" s="20">
        <f>IF($E135="","",IFERROR(INDEX(Vérifications!$E$2:$E$1001,MATCH($A135&amp;"|"&amp;$E135,Vérifications!$M$2:$M$1001,0)),""))</f>
      </c>
      <c r="G135" s="19">
        <f>IF($N135="","",IF(ISNUMBER($E135),EDATE($E135,$N135),IF(AND(ISNUMBER($U135),IFERROR(INDEX('Référentiel'!$E$2:$E$83,MATCH($C135,'Référentiel'!$A$2:$A$83,0)),0)&gt;0),EDATE($U135,IFERROR(INDEX('Référentiel'!$E$2:$E$83,MATCH($C135,'Référentiel'!$A$2:$A$83,0)),0)),"")))</f>
      </c>
      <c r="H135" s="21">
        <f>IF(ISNUMBER($G135),$G135-TODAY(),"")</f>
      </c>
      <c r="I135" s="20">
        <f>IF(AND($A135="",$C135=""),"",IF($T135="Non","Hors service",IF(AND($Q135="Location",ISNUMBER($R135),$R135&lt;TODAY()),"Location terminée",IF(OR($F135="Mise à l'arrêt",IF($A135="",0,SUMPRODUCT((Réserves!$B$2:$B$301=$A135)*(Réserves!$E$2:$E$301="Mise à l'arrêt")*(Réserves!$J$2:$J$301&lt;&gt;"Levée")*(Réserves!$J$2:$J$301&lt;&gt;"")))&gt;0),"Arrêt : réserve à lever",IF($C135="","Type à choisir",IF($N135="","Périodicité à saisir",IF(OR(ISTEXT($U135),ISTEXT($R135)),"Date à corriger",IF(AND($E135="",$Q135="Location",$S135&lt;&gt;"Oui"),"Rapport loueur à obtenir",IF(NOT(ISNUMBER($G135)),"Vérif. initiale à tracer",IF($H135&lt;0,"En retard",IF(AND($Q135="Location",$S135&lt;&gt;"Oui"),"Rapport loueur à obtenir",IF($H135&lt;='Tableau de bord'!$C$4,"À planifier","À jour"))))))))))))</f>
      </c>
      <c r="J135" s="22">
        <f>IF($A135="","",COUNTIFS(Réserves!$B$2:$B$301,$A135,Réserves!$J$2:$J$301,"Ouverte")+COUNTIFS(Réserves!$B$2:$B$301,$A135,Réserves!$J$2:$J$301,"En retard"))</f>
      </c>
      <c r="K135" s="20">
        <f>IF($C135="","",IFERROR(INDEX('Référentiel'!$B$2:$B$83,MATCH($C135,'Référentiel'!$A$2:$A$83,0)),"Type hors liste"))</f>
      </c>
      <c r="L135" s="22">
        <f>IF($C135="","",IF(IFERROR(INDEX('Référentiel'!$C$2:$C$83,MATCH($C135,'Référentiel'!$A$2:$A$83,0)),0)=0,"",IFERROR(INDEX('Référentiel'!$C$2:$C$83,MATCH($C135,'Référentiel'!$A$2:$A$83,0)),0)))</f>
      </c>
      <c r="M135" s="23"/>
      <c r="N135" s="22">
        <f>IF($C135="","",IF(IF($M135&lt;&gt;"",IF($L135&lt;&gt;"",MIN($L135,$M135),$M135),IF($L135&lt;&gt;"",$L135,IF(IFERROR(INDEX('Référentiel'!$D$2:$D$83,MATCH($C135,'Référentiel'!$A$2:$A$83,0)),0)&gt;0,IFERROR(INDEX('Référentiel'!$D$2:$D$83,MATCH($C135,'Référentiel'!$A$2:$A$83,0)),0),"")))="","",IF(AND(IFERROR(INDEX('Référentiel'!$F$2:$F$83,MATCH($C135,'Référentiel'!$A$2:$A$83,0)),0)&gt;0,N($J135)&gt;0),MIN(IF($M135&lt;&gt;"",IF($L135&lt;&gt;"",MIN($L135,$M135),$M135),IF($L135&lt;&gt;"",$L135,IF(IFERROR(INDEX('Référentiel'!$D$2:$D$83,MATCH($C135,'Référentiel'!$A$2:$A$83,0)),0)&gt;0,IFERROR(INDEX('Référentiel'!$D$2:$D$83,MATCH($C135,'Référentiel'!$A$2:$A$83,0)),0),""))),IFERROR(INDEX('Référentiel'!$F$2:$F$83,MATCH($C135,'Référentiel'!$A$2:$A$83,0)),0)),IF($M135&lt;&gt;"",IF($L135&lt;&gt;"",MIN($L135,$M135),$M135),IF($L135&lt;&gt;"",$L135,IF(IFERROR(INDEX('Référentiel'!$D$2:$D$83,MATCH($C135,'Référentiel'!$A$2:$A$83,0)),0)&gt;0,IFERROR(INDEX('Référentiel'!$D$2:$D$83,MATCH($C135,'Référentiel'!$A$2:$A$83,0)),0),""))))))</f>
      </c>
      <c r="O135" s="9"/>
      <c r="P135" s="23"/>
      <c r="Q135" s="9"/>
      <c r="R135" s="24"/>
      <c r="S135" s="23"/>
      <c r="T135" s="23"/>
      <c r="U135" s="24"/>
      <c r="V135" s="20">
        <f>IF($C135="","",IFERROR(INDEX('Référentiel'!$K$2:$K$83,MATCH($C135,'Référentiel'!$A$2:$A$83,0)),""))</f>
      </c>
      <c r="W135" s="20">
        <f>IF(AND(ISNUMBER($G135),$I135&lt;&gt;"Hors service",$I135&lt;&gt;"Location terminée"),$G135+ROW()/100000,"")</f>
      </c>
      <c r="X135" s="9"/>
    </row>
    <row r="136" spans="1:24" x14ac:dyDescent="0.25">
      <c r="A136" s="9"/>
      <c r="B136" s="9"/>
      <c r="C136" s="9"/>
      <c r="D136" s="9"/>
      <c r="E136" s="19">
        <f>IF($A136="","",IF(SUMPRODUCT(MAX((Vérifications!$B$2:$B$1001=$A136)*Vérifications!$L$2:$L$1001))=0,"",SUMPRODUCT(MAX((Vérifications!$B$2:$B$1001=$A136)*Vérifications!$L$2:$L$1001))))</f>
      </c>
      <c r="F136" s="20">
        <f>IF($E136="","",IFERROR(INDEX(Vérifications!$E$2:$E$1001,MATCH($A136&amp;"|"&amp;$E136,Vérifications!$M$2:$M$1001,0)),""))</f>
      </c>
      <c r="G136" s="19">
        <f>IF($N136="","",IF(ISNUMBER($E136),EDATE($E136,$N136),IF(AND(ISNUMBER($U136),IFERROR(INDEX('Référentiel'!$E$2:$E$83,MATCH($C136,'Référentiel'!$A$2:$A$83,0)),0)&gt;0),EDATE($U136,IFERROR(INDEX('Référentiel'!$E$2:$E$83,MATCH($C136,'Référentiel'!$A$2:$A$83,0)),0)),"")))</f>
      </c>
      <c r="H136" s="21">
        <f>IF(ISNUMBER($G136),$G136-TODAY(),"")</f>
      </c>
      <c r="I136" s="20">
        <f>IF(AND($A136="",$C136=""),"",IF($T136="Non","Hors service",IF(AND($Q136="Location",ISNUMBER($R136),$R136&lt;TODAY()),"Location terminée",IF(OR($F136="Mise à l'arrêt",IF($A136="",0,SUMPRODUCT((Réserves!$B$2:$B$301=$A136)*(Réserves!$E$2:$E$301="Mise à l'arrêt")*(Réserves!$J$2:$J$301&lt;&gt;"Levée")*(Réserves!$J$2:$J$301&lt;&gt;"")))&gt;0),"Arrêt : réserve à lever",IF($C136="","Type à choisir",IF($N136="","Périodicité à saisir",IF(OR(ISTEXT($U136),ISTEXT($R136)),"Date à corriger",IF(AND($E136="",$Q136="Location",$S136&lt;&gt;"Oui"),"Rapport loueur à obtenir",IF(NOT(ISNUMBER($G136)),"Vérif. initiale à tracer",IF($H136&lt;0,"En retard",IF(AND($Q136="Location",$S136&lt;&gt;"Oui"),"Rapport loueur à obtenir",IF($H136&lt;='Tableau de bord'!$C$4,"À planifier","À jour"))))))))))))</f>
      </c>
      <c r="J136" s="22">
        <f>IF($A136="","",COUNTIFS(Réserves!$B$2:$B$301,$A136,Réserves!$J$2:$J$301,"Ouverte")+COUNTIFS(Réserves!$B$2:$B$301,$A136,Réserves!$J$2:$J$301,"En retard"))</f>
      </c>
      <c r="K136" s="20">
        <f>IF($C136="","",IFERROR(INDEX('Référentiel'!$B$2:$B$83,MATCH($C136,'Référentiel'!$A$2:$A$83,0)),"Type hors liste"))</f>
      </c>
      <c r="L136" s="22">
        <f>IF($C136="","",IF(IFERROR(INDEX('Référentiel'!$C$2:$C$83,MATCH($C136,'Référentiel'!$A$2:$A$83,0)),0)=0,"",IFERROR(INDEX('Référentiel'!$C$2:$C$83,MATCH($C136,'Référentiel'!$A$2:$A$83,0)),0)))</f>
      </c>
      <c r="M136" s="23"/>
      <c r="N136" s="22">
        <f>IF($C136="","",IF(IF($M136&lt;&gt;"",IF($L136&lt;&gt;"",MIN($L136,$M136),$M136),IF($L136&lt;&gt;"",$L136,IF(IFERROR(INDEX('Référentiel'!$D$2:$D$83,MATCH($C136,'Référentiel'!$A$2:$A$83,0)),0)&gt;0,IFERROR(INDEX('Référentiel'!$D$2:$D$83,MATCH($C136,'Référentiel'!$A$2:$A$83,0)),0),"")))="","",IF(AND(IFERROR(INDEX('Référentiel'!$F$2:$F$83,MATCH($C136,'Référentiel'!$A$2:$A$83,0)),0)&gt;0,N($J136)&gt;0),MIN(IF($M136&lt;&gt;"",IF($L136&lt;&gt;"",MIN($L136,$M136),$M136),IF($L136&lt;&gt;"",$L136,IF(IFERROR(INDEX('Référentiel'!$D$2:$D$83,MATCH($C136,'Référentiel'!$A$2:$A$83,0)),0)&gt;0,IFERROR(INDEX('Référentiel'!$D$2:$D$83,MATCH($C136,'Référentiel'!$A$2:$A$83,0)),0),""))),IFERROR(INDEX('Référentiel'!$F$2:$F$83,MATCH($C136,'Référentiel'!$A$2:$A$83,0)),0)),IF($M136&lt;&gt;"",IF($L136&lt;&gt;"",MIN($L136,$M136),$M136),IF($L136&lt;&gt;"",$L136,IF(IFERROR(INDEX('Référentiel'!$D$2:$D$83,MATCH($C136,'Référentiel'!$A$2:$A$83,0)),0)&gt;0,IFERROR(INDEX('Référentiel'!$D$2:$D$83,MATCH($C136,'Référentiel'!$A$2:$A$83,0)),0),""))))))</f>
      </c>
      <c r="O136" s="9"/>
      <c r="P136" s="23"/>
      <c r="Q136" s="9"/>
      <c r="R136" s="24"/>
      <c r="S136" s="23"/>
      <c r="T136" s="23"/>
      <c r="U136" s="24"/>
      <c r="V136" s="20">
        <f>IF($C136="","",IFERROR(INDEX('Référentiel'!$K$2:$K$83,MATCH($C136,'Référentiel'!$A$2:$A$83,0)),""))</f>
      </c>
      <c r="W136" s="20">
        <f>IF(AND(ISNUMBER($G136),$I136&lt;&gt;"Hors service",$I136&lt;&gt;"Location terminée"),$G136+ROW()/100000,"")</f>
      </c>
      <c r="X136" s="9"/>
    </row>
    <row r="137" spans="1:24" x14ac:dyDescent="0.25">
      <c r="A137" s="9"/>
      <c r="B137" s="9"/>
      <c r="C137" s="9"/>
      <c r="D137" s="9"/>
      <c r="E137" s="19">
        <f>IF($A137="","",IF(SUMPRODUCT(MAX((Vérifications!$B$2:$B$1001=$A137)*Vérifications!$L$2:$L$1001))=0,"",SUMPRODUCT(MAX((Vérifications!$B$2:$B$1001=$A137)*Vérifications!$L$2:$L$1001))))</f>
      </c>
      <c r="F137" s="20">
        <f>IF($E137="","",IFERROR(INDEX(Vérifications!$E$2:$E$1001,MATCH($A137&amp;"|"&amp;$E137,Vérifications!$M$2:$M$1001,0)),""))</f>
      </c>
      <c r="G137" s="19">
        <f>IF($N137="","",IF(ISNUMBER($E137),EDATE($E137,$N137),IF(AND(ISNUMBER($U137),IFERROR(INDEX('Référentiel'!$E$2:$E$83,MATCH($C137,'Référentiel'!$A$2:$A$83,0)),0)&gt;0),EDATE($U137,IFERROR(INDEX('Référentiel'!$E$2:$E$83,MATCH($C137,'Référentiel'!$A$2:$A$83,0)),0)),"")))</f>
      </c>
      <c r="H137" s="21">
        <f>IF(ISNUMBER($G137),$G137-TODAY(),"")</f>
      </c>
      <c r="I137" s="20">
        <f>IF(AND($A137="",$C137=""),"",IF($T137="Non","Hors service",IF(AND($Q137="Location",ISNUMBER($R137),$R137&lt;TODAY()),"Location terminée",IF(OR($F137="Mise à l'arrêt",IF($A137="",0,SUMPRODUCT((Réserves!$B$2:$B$301=$A137)*(Réserves!$E$2:$E$301="Mise à l'arrêt")*(Réserves!$J$2:$J$301&lt;&gt;"Levée")*(Réserves!$J$2:$J$301&lt;&gt;"")))&gt;0),"Arrêt : réserve à lever",IF($C137="","Type à choisir",IF($N137="","Périodicité à saisir",IF(OR(ISTEXT($U137),ISTEXT($R137)),"Date à corriger",IF(AND($E137="",$Q137="Location",$S137&lt;&gt;"Oui"),"Rapport loueur à obtenir",IF(NOT(ISNUMBER($G137)),"Vérif. initiale à tracer",IF($H137&lt;0,"En retard",IF(AND($Q137="Location",$S137&lt;&gt;"Oui"),"Rapport loueur à obtenir",IF($H137&lt;='Tableau de bord'!$C$4,"À planifier","À jour"))))))))))))</f>
      </c>
      <c r="J137" s="22">
        <f>IF($A137="","",COUNTIFS(Réserves!$B$2:$B$301,$A137,Réserves!$J$2:$J$301,"Ouverte")+COUNTIFS(Réserves!$B$2:$B$301,$A137,Réserves!$J$2:$J$301,"En retard"))</f>
      </c>
      <c r="K137" s="20">
        <f>IF($C137="","",IFERROR(INDEX('Référentiel'!$B$2:$B$83,MATCH($C137,'Référentiel'!$A$2:$A$83,0)),"Type hors liste"))</f>
      </c>
      <c r="L137" s="22">
        <f>IF($C137="","",IF(IFERROR(INDEX('Référentiel'!$C$2:$C$83,MATCH($C137,'Référentiel'!$A$2:$A$83,0)),0)=0,"",IFERROR(INDEX('Référentiel'!$C$2:$C$83,MATCH($C137,'Référentiel'!$A$2:$A$83,0)),0)))</f>
      </c>
      <c r="M137" s="23"/>
      <c r="N137" s="22">
        <f>IF($C137="","",IF(IF($M137&lt;&gt;"",IF($L137&lt;&gt;"",MIN($L137,$M137),$M137),IF($L137&lt;&gt;"",$L137,IF(IFERROR(INDEX('Référentiel'!$D$2:$D$83,MATCH($C137,'Référentiel'!$A$2:$A$83,0)),0)&gt;0,IFERROR(INDEX('Référentiel'!$D$2:$D$83,MATCH($C137,'Référentiel'!$A$2:$A$83,0)),0),"")))="","",IF(AND(IFERROR(INDEX('Référentiel'!$F$2:$F$83,MATCH($C137,'Référentiel'!$A$2:$A$83,0)),0)&gt;0,N($J137)&gt;0),MIN(IF($M137&lt;&gt;"",IF($L137&lt;&gt;"",MIN($L137,$M137),$M137),IF($L137&lt;&gt;"",$L137,IF(IFERROR(INDEX('Référentiel'!$D$2:$D$83,MATCH($C137,'Référentiel'!$A$2:$A$83,0)),0)&gt;0,IFERROR(INDEX('Référentiel'!$D$2:$D$83,MATCH($C137,'Référentiel'!$A$2:$A$83,0)),0),""))),IFERROR(INDEX('Référentiel'!$F$2:$F$83,MATCH($C137,'Référentiel'!$A$2:$A$83,0)),0)),IF($M137&lt;&gt;"",IF($L137&lt;&gt;"",MIN($L137,$M137),$M137),IF($L137&lt;&gt;"",$L137,IF(IFERROR(INDEX('Référentiel'!$D$2:$D$83,MATCH($C137,'Référentiel'!$A$2:$A$83,0)),0)&gt;0,IFERROR(INDEX('Référentiel'!$D$2:$D$83,MATCH($C137,'Référentiel'!$A$2:$A$83,0)),0),""))))))</f>
      </c>
      <c r="O137" s="9"/>
      <c r="P137" s="23"/>
      <c r="Q137" s="9"/>
      <c r="R137" s="24"/>
      <c r="S137" s="23"/>
      <c r="T137" s="23"/>
      <c r="U137" s="24"/>
      <c r="V137" s="20">
        <f>IF($C137="","",IFERROR(INDEX('Référentiel'!$K$2:$K$83,MATCH($C137,'Référentiel'!$A$2:$A$83,0)),""))</f>
      </c>
      <c r="W137" s="20">
        <f>IF(AND(ISNUMBER($G137),$I137&lt;&gt;"Hors service",$I137&lt;&gt;"Location terminée"),$G137+ROW()/100000,"")</f>
      </c>
      <c r="X137" s="9"/>
    </row>
    <row r="138" spans="1:24" x14ac:dyDescent="0.25">
      <c r="A138" s="9"/>
      <c r="B138" s="9"/>
      <c r="C138" s="9"/>
      <c r="D138" s="9"/>
      <c r="E138" s="19">
        <f>IF($A138="","",IF(SUMPRODUCT(MAX((Vérifications!$B$2:$B$1001=$A138)*Vérifications!$L$2:$L$1001))=0,"",SUMPRODUCT(MAX((Vérifications!$B$2:$B$1001=$A138)*Vérifications!$L$2:$L$1001))))</f>
      </c>
      <c r="F138" s="20">
        <f>IF($E138="","",IFERROR(INDEX(Vérifications!$E$2:$E$1001,MATCH($A138&amp;"|"&amp;$E138,Vérifications!$M$2:$M$1001,0)),""))</f>
      </c>
      <c r="G138" s="19">
        <f>IF($N138="","",IF(ISNUMBER($E138),EDATE($E138,$N138),IF(AND(ISNUMBER($U138),IFERROR(INDEX('Référentiel'!$E$2:$E$83,MATCH($C138,'Référentiel'!$A$2:$A$83,0)),0)&gt;0),EDATE($U138,IFERROR(INDEX('Référentiel'!$E$2:$E$83,MATCH($C138,'Référentiel'!$A$2:$A$83,0)),0)),"")))</f>
      </c>
      <c r="H138" s="21">
        <f>IF(ISNUMBER($G138),$G138-TODAY(),"")</f>
      </c>
      <c r="I138" s="20">
        <f>IF(AND($A138="",$C138=""),"",IF($T138="Non","Hors service",IF(AND($Q138="Location",ISNUMBER($R138),$R138&lt;TODAY()),"Location terminée",IF(OR($F138="Mise à l'arrêt",IF($A138="",0,SUMPRODUCT((Réserves!$B$2:$B$301=$A138)*(Réserves!$E$2:$E$301="Mise à l'arrêt")*(Réserves!$J$2:$J$301&lt;&gt;"Levée")*(Réserves!$J$2:$J$301&lt;&gt;"")))&gt;0),"Arrêt : réserve à lever",IF($C138="","Type à choisir",IF($N138="","Périodicité à saisir",IF(OR(ISTEXT($U138),ISTEXT($R138)),"Date à corriger",IF(AND($E138="",$Q138="Location",$S138&lt;&gt;"Oui"),"Rapport loueur à obtenir",IF(NOT(ISNUMBER($G138)),"Vérif. initiale à tracer",IF($H138&lt;0,"En retard",IF(AND($Q138="Location",$S138&lt;&gt;"Oui"),"Rapport loueur à obtenir",IF($H138&lt;='Tableau de bord'!$C$4,"À planifier","À jour"))))))))))))</f>
      </c>
      <c r="J138" s="22">
        <f>IF($A138="","",COUNTIFS(Réserves!$B$2:$B$301,$A138,Réserves!$J$2:$J$301,"Ouverte")+COUNTIFS(Réserves!$B$2:$B$301,$A138,Réserves!$J$2:$J$301,"En retard"))</f>
      </c>
      <c r="K138" s="20">
        <f>IF($C138="","",IFERROR(INDEX('Référentiel'!$B$2:$B$83,MATCH($C138,'Référentiel'!$A$2:$A$83,0)),"Type hors liste"))</f>
      </c>
      <c r="L138" s="22">
        <f>IF($C138="","",IF(IFERROR(INDEX('Référentiel'!$C$2:$C$83,MATCH($C138,'Référentiel'!$A$2:$A$83,0)),0)=0,"",IFERROR(INDEX('Référentiel'!$C$2:$C$83,MATCH($C138,'Référentiel'!$A$2:$A$83,0)),0)))</f>
      </c>
      <c r="M138" s="23"/>
      <c r="N138" s="22">
        <f>IF($C138="","",IF(IF($M138&lt;&gt;"",IF($L138&lt;&gt;"",MIN($L138,$M138),$M138),IF($L138&lt;&gt;"",$L138,IF(IFERROR(INDEX('Référentiel'!$D$2:$D$83,MATCH($C138,'Référentiel'!$A$2:$A$83,0)),0)&gt;0,IFERROR(INDEX('Référentiel'!$D$2:$D$83,MATCH($C138,'Référentiel'!$A$2:$A$83,0)),0),"")))="","",IF(AND(IFERROR(INDEX('Référentiel'!$F$2:$F$83,MATCH($C138,'Référentiel'!$A$2:$A$83,0)),0)&gt;0,N($J138)&gt;0),MIN(IF($M138&lt;&gt;"",IF($L138&lt;&gt;"",MIN($L138,$M138),$M138),IF($L138&lt;&gt;"",$L138,IF(IFERROR(INDEX('Référentiel'!$D$2:$D$83,MATCH($C138,'Référentiel'!$A$2:$A$83,0)),0)&gt;0,IFERROR(INDEX('Référentiel'!$D$2:$D$83,MATCH($C138,'Référentiel'!$A$2:$A$83,0)),0),""))),IFERROR(INDEX('Référentiel'!$F$2:$F$83,MATCH($C138,'Référentiel'!$A$2:$A$83,0)),0)),IF($M138&lt;&gt;"",IF($L138&lt;&gt;"",MIN($L138,$M138),$M138),IF($L138&lt;&gt;"",$L138,IF(IFERROR(INDEX('Référentiel'!$D$2:$D$83,MATCH($C138,'Référentiel'!$A$2:$A$83,0)),0)&gt;0,IFERROR(INDEX('Référentiel'!$D$2:$D$83,MATCH($C138,'Référentiel'!$A$2:$A$83,0)),0),""))))))</f>
      </c>
      <c r="O138" s="9"/>
      <c r="P138" s="23"/>
      <c r="Q138" s="9"/>
      <c r="R138" s="24"/>
      <c r="S138" s="23"/>
      <c r="T138" s="23"/>
      <c r="U138" s="24"/>
      <c r="V138" s="20">
        <f>IF($C138="","",IFERROR(INDEX('Référentiel'!$K$2:$K$83,MATCH($C138,'Référentiel'!$A$2:$A$83,0)),""))</f>
      </c>
      <c r="W138" s="20">
        <f>IF(AND(ISNUMBER($G138),$I138&lt;&gt;"Hors service",$I138&lt;&gt;"Location terminée"),$G138+ROW()/100000,"")</f>
      </c>
      <c r="X138" s="9"/>
    </row>
    <row r="139" spans="1:24" x14ac:dyDescent="0.25">
      <c r="A139" s="9"/>
      <c r="B139" s="9"/>
      <c r="C139" s="9"/>
      <c r="D139" s="9"/>
      <c r="E139" s="19">
        <f>IF($A139="","",IF(SUMPRODUCT(MAX((Vérifications!$B$2:$B$1001=$A139)*Vérifications!$L$2:$L$1001))=0,"",SUMPRODUCT(MAX((Vérifications!$B$2:$B$1001=$A139)*Vérifications!$L$2:$L$1001))))</f>
      </c>
      <c r="F139" s="20">
        <f>IF($E139="","",IFERROR(INDEX(Vérifications!$E$2:$E$1001,MATCH($A139&amp;"|"&amp;$E139,Vérifications!$M$2:$M$1001,0)),""))</f>
      </c>
      <c r="G139" s="19">
        <f>IF($N139="","",IF(ISNUMBER($E139),EDATE($E139,$N139),IF(AND(ISNUMBER($U139),IFERROR(INDEX('Référentiel'!$E$2:$E$83,MATCH($C139,'Référentiel'!$A$2:$A$83,0)),0)&gt;0),EDATE($U139,IFERROR(INDEX('Référentiel'!$E$2:$E$83,MATCH($C139,'Référentiel'!$A$2:$A$83,0)),0)),"")))</f>
      </c>
      <c r="H139" s="21">
        <f>IF(ISNUMBER($G139),$G139-TODAY(),"")</f>
      </c>
      <c r="I139" s="20">
        <f>IF(AND($A139="",$C139=""),"",IF($T139="Non","Hors service",IF(AND($Q139="Location",ISNUMBER($R139),$R139&lt;TODAY()),"Location terminée",IF(OR($F139="Mise à l'arrêt",IF($A139="",0,SUMPRODUCT((Réserves!$B$2:$B$301=$A139)*(Réserves!$E$2:$E$301="Mise à l'arrêt")*(Réserves!$J$2:$J$301&lt;&gt;"Levée")*(Réserves!$J$2:$J$301&lt;&gt;"")))&gt;0),"Arrêt : réserve à lever",IF($C139="","Type à choisir",IF($N139="","Périodicité à saisir",IF(OR(ISTEXT($U139),ISTEXT($R139)),"Date à corriger",IF(AND($E139="",$Q139="Location",$S139&lt;&gt;"Oui"),"Rapport loueur à obtenir",IF(NOT(ISNUMBER($G139)),"Vérif. initiale à tracer",IF($H139&lt;0,"En retard",IF(AND($Q139="Location",$S139&lt;&gt;"Oui"),"Rapport loueur à obtenir",IF($H139&lt;='Tableau de bord'!$C$4,"À planifier","À jour"))))))))))))</f>
      </c>
      <c r="J139" s="22">
        <f>IF($A139="","",COUNTIFS(Réserves!$B$2:$B$301,$A139,Réserves!$J$2:$J$301,"Ouverte")+COUNTIFS(Réserves!$B$2:$B$301,$A139,Réserves!$J$2:$J$301,"En retard"))</f>
      </c>
      <c r="K139" s="20">
        <f>IF($C139="","",IFERROR(INDEX('Référentiel'!$B$2:$B$83,MATCH($C139,'Référentiel'!$A$2:$A$83,0)),"Type hors liste"))</f>
      </c>
      <c r="L139" s="22">
        <f>IF($C139="","",IF(IFERROR(INDEX('Référentiel'!$C$2:$C$83,MATCH($C139,'Référentiel'!$A$2:$A$83,0)),0)=0,"",IFERROR(INDEX('Référentiel'!$C$2:$C$83,MATCH($C139,'Référentiel'!$A$2:$A$83,0)),0)))</f>
      </c>
      <c r="M139" s="23"/>
      <c r="N139" s="22">
        <f>IF($C139="","",IF(IF($M139&lt;&gt;"",IF($L139&lt;&gt;"",MIN($L139,$M139),$M139),IF($L139&lt;&gt;"",$L139,IF(IFERROR(INDEX('Référentiel'!$D$2:$D$83,MATCH($C139,'Référentiel'!$A$2:$A$83,0)),0)&gt;0,IFERROR(INDEX('Référentiel'!$D$2:$D$83,MATCH($C139,'Référentiel'!$A$2:$A$83,0)),0),"")))="","",IF(AND(IFERROR(INDEX('Référentiel'!$F$2:$F$83,MATCH($C139,'Référentiel'!$A$2:$A$83,0)),0)&gt;0,N($J139)&gt;0),MIN(IF($M139&lt;&gt;"",IF($L139&lt;&gt;"",MIN($L139,$M139),$M139),IF($L139&lt;&gt;"",$L139,IF(IFERROR(INDEX('Référentiel'!$D$2:$D$83,MATCH($C139,'Référentiel'!$A$2:$A$83,0)),0)&gt;0,IFERROR(INDEX('Référentiel'!$D$2:$D$83,MATCH($C139,'Référentiel'!$A$2:$A$83,0)),0),""))),IFERROR(INDEX('Référentiel'!$F$2:$F$83,MATCH($C139,'Référentiel'!$A$2:$A$83,0)),0)),IF($M139&lt;&gt;"",IF($L139&lt;&gt;"",MIN($L139,$M139),$M139),IF($L139&lt;&gt;"",$L139,IF(IFERROR(INDEX('Référentiel'!$D$2:$D$83,MATCH($C139,'Référentiel'!$A$2:$A$83,0)),0)&gt;0,IFERROR(INDEX('Référentiel'!$D$2:$D$83,MATCH($C139,'Référentiel'!$A$2:$A$83,0)),0),""))))))</f>
      </c>
      <c r="O139" s="9"/>
      <c r="P139" s="23"/>
      <c r="Q139" s="9"/>
      <c r="R139" s="24"/>
      <c r="S139" s="23"/>
      <c r="T139" s="23"/>
      <c r="U139" s="24"/>
      <c r="V139" s="20">
        <f>IF($C139="","",IFERROR(INDEX('Référentiel'!$K$2:$K$83,MATCH($C139,'Référentiel'!$A$2:$A$83,0)),""))</f>
      </c>
      <c r="W139" s="20">
        <f>IF(AND(ISNUMBER($G139),$I139&lt;&gt;"Hors service",$I139&lt;&gt;"Location terminée"),$G139+ROW()/100000,"")</f>
      </c>
      <c r="X139" s="9"/>
    </row>
    <row r="140" spans="1:24" x14ac:dyDescent="0.25">
      <c r="A140" s="9"/>
      <c r="B140" s="9"/>
      <c r="C140" s="9"/>
      <c r="D140" s="9"/>
      <c r="E140" s="19">
        <f>IF($A140="","",IF(SUMPRODUCT(MAX((Vérifications!$B$2:$B$1001=$A140)*Vérifications!$L$2:$L$1001))=0,"",SUMPRODUCT(MAX((Vérifications!$B$2:$B$1001=$A140)*Vérifications!$L$2:$L$1001))))</f>
      </c>
      <c r="F140" s="20">
        <f>IF($E140="","",IFERROR(INDEX(Vérifications!$E$2:$E$1001,MATCH($A140&amp;"|"&amp;$E140,Vérifications!$M$2:$M$1001,0)),""))</f>
      </c>
      <c r="G140" s="19">
        <f>IF($N140="","",IF(ISNUMBER($E140),EDATE($E140,$N140),IF(AND(ISNUMBER($U140),IFERROR(INDEX('Référentiel'!$E$2:$E$83,MATCH($C140,'Référentiel'!$A$2:$A$83,0)),0)&gt;0),EDATE($U140,IFERROR(INDEX('Référentiel'!$E$2:$E$83,MATCH($C140,'Référentiel'!$A$2:$A$83,0)),0)),"")))</f>
      </c>
      <c r="H140" s="21">
        <f>IF(ISNUMBER($G140),$G140-TODAY(),"")</f>
      </c>
      <c r="I140" s="20">
        <f>IF(AND($A140="",$C140=""),"",IF($T140="Non","Hors service",IF(AND($Q140="Location",ISNUMBER($R140),$R140&lt;TODAY()),"Location terminée",IF(OR($F140="Mise à l'arrêt",IF($A140="",0,SUMPRODUCT((Réserves!$B$2:$B$301=$A140)*(Réserves!$E$2:$E$301="Mise à l'arrêt")*(Réserves!$J$2:$J$301&lt;&gt;"Levée")*(Réserves!$J$2:$J$301&lt;&gt;"")))&gt;0),"Arrêt : réserve à lever",IF($C140="","Type à choisir",IF($N140="","Périodicité à saisir",IF(OR(ISTEXT($U140),ISTEXT($R140)),"Date à corriger",IF(AND($E140="",$Q140="Location",$S140&lt;&gt;"Oui"),"Rapport loueur à obtenir",IF(NOT(ISNUMBER($G140)),"Vérif. initiale à tracer",IF($H140&lt;0,"En retard",IF(AND($Q140="Location",$S140&lt;&gt;"Oui"),"Rapport loueur à obtenir",IF($H140&lt;='Tableau de bord'!$C$4,"À planifier","À jour"))))))))))))</f>
      </c>
      <c r="J140" s="22">
        <f>IF($A140="","",COUNTIFS(Réserves!$B$2:$B$301,$A140,Réserves!$J$2:$J$301,"Ouverte")+COUNTIFS(Réserves!$B$2:$B$301,$A140,Réserves!$J$2:$J$301,"En retard"))</f>
      </c>
      <c r="K140" s="20">
        <f>IF($C140="","",IFERROR(INDEX('Référentiel'!$B$2:$B$83,MATCH($C140,'Référentiel'!$A$2:$A$83,0)),"Type hors liste"))</f>
      </c>
      <c r="L140" s="22">
        <f>IF($C140="","",IF(IFERROR(INDEX('Référentiel'!$C$2:$C$83,MATCH($C140,'Référentiel'!$A$2:$A$83,0)),0)=0,"",IFERROR(INDEX('Référentiel'!$C$2:$C$83,MATCH($C140,'Référentiel'!$A$2:$A$83,0)),0)))</f>
      </c>
      <c r="M140" s="23"/>
      <c r="N140" s="22">
        <f>IF($C140="","",IF(IF($M140&lt;&gt;"",IF($L140&lt;&gt;"",MIN($L140,$M140),$M140),IF($L140&lt;&gt;"",$L140,IF(IFERROR(INDEX('Référentiel'!$D$2:$D$83,MATCH($C140,'Référentiel'!$A$2:$A$83,0)),0)&gt;0,IFERROR(INDEX('Référentiel'!$D$2:$D$83,MATCH($C140,'Référentiel'!$A$2:$A$83,0)),0),"")))="","",IF(AND(IFERROR(INDEX('Référentiel'!$F$2:$F$83,MATCH($C140,'Référentiel'!$A$2:$A$83,0)),0)&gt;0,N($J140)&gt;0),MIN(IF($M140&lt;&gt;"",IF($L140&lt;&gt;"",MIN($L140,$M140),$M140),IF($L140&lt;&gt;"",$L140,IF(IFERROR(INDEX('Référentiel'!$D$2:$D$83,MATCH($C140,'Référentiel'!$A$2:$A$83,0)),0)&gt;0,IFERROR(INDEX('Référentiel'!$D$2:$D$83,MATCH($C140,'Référentiel'!$A$2:$A$83,0)),0),""))),IFERROR(INDEX('Référentiel'!$F$2:$F$83,MATCH($C140,'Référentiel'!$A$2:$A$83,0)),0)),IF($M140&lt;&gt;"",IF($L140&lt;&gt;"",MIN($L140,$M140),$M140),IF($L140&lt;&gt;"",$L140,IF(IFERROR(INDEX('Référentiel'!$D$2:$D$83,MATCH($C140,'Référentiel'!$A$2:$A$83,0)),0)&gt;0,IFERROR(INDEX('Référentiel'!$D$2:$D$83,MATCH($C140,'Référentiel'!$A$2:$A$83,0)),0),""))))))</f>
      </c>
      <c r="O140" s="9"/>
      <c r="P140" s="23"/>
      <c r="Q140" s="9"/>
      <c r="R140" s="24"/>
      <c r="S140" s="23"/>
      <c r="T140" s="23"/>
      <c r="U140" s="24"/>
      <c r="V140" s="20">
        <f>IF($C140="","",IFERROR(INDEX('Référentiel'!$K$2:$K$83,MATCH($C140,'Référentiel'!$A$2:$A$83,0)),""))</f>
      </c>
      <c r="W140" s="20">
        <f>IF(AND(ISNUMBER($G140),$I140&lt;&gt;"Hors service",$I140&lt;&gt;"Location terminée"),$G140+ROW()/100000,"")</f>
      </c>
      <c r="X140" s="9"/>
    </row>
    <row r="141" spans="1:24" x14ac:dyDescent="0.25">
      <c r="A141" s="9"/>
      <c r="B141" s="9"/>
      <c r="C141" s="9"/>
      <c r="D141" s="9"/>
      <c r="E141" s="19">
        <f>IF($A141="","",IF(SUMPRODUCT(MAX((Vérifications!$B$2:$B$1001=$A141)*Vérifications!$L$2:$L$1001))=0,"",SUMPRODUCT(MAX((Vérifications!$B$2:$B$1001=$A141)*Vérifications!$L$2:$L$1001))))</f>
      </c>
      <c r="F141" s="20">
        <f>IF($E141="","",IFERROR(INDEX(Vérifications!$E$2:$E$1001,MATCH($A141&amp;"|"&amp;$E141,Vérifications!$M$2:$M$1001,0)),""))</f>
      </c>
      <c r="G141" s="19">
        <f>IF($N141="","",IF(ISNUMBER($E141),EDATE($E141,$N141),IF(AND(ISNUMBER($U141),IFERROR(INDEX('Référentiel'!$E$2:$E$83,MATCH($C141,'Référentiel'!$A$2:$A$83,0)),0)&gt;0),EDATE($U141,IFERROR(INDEX('Référentiel'!$E$2:$E$83,MATCH($C141,'Référentiel'!$A$2:$A$83,0)),0)),"")))</f>
      </c>
      <c r="H141" s="21">
        <f>IF(ISNUMBER($G141),$G141-TODAY(),"")</f>
      </c>
      <c r="I141" s="20">
        <f>IF(AND($A141="",$C141=""),"",IF($T141="Non","Hors service",IF(AND($Q141="Location",ISNUMBER($R141),$R141&lt;TODAY()),"Location terminée",IF(OR($F141="Mise à l'arrêt",IF($A141="",0,SUMPRODUCT((Réserves!$B$2:$B$301=$A141)*(Réserves!$E$2:$E$301="Mise à l'arrêt")*(Réserves!$J$2:$J$301&lt;&gt;"Levée")*(Réserves!$J$2:$J$301&lt;&gt;"")))&gt;0),"Arrêt : réserve à lever",IF($C141="","Type à choisir",IF($N141="","Périodicité à saisir",IF(OR(ISTEXT($U141),ISTEXT($R141)),"Date à corriger",IF(AND($E141="",$Q141="Location",$S141&lt;&gt;"Oui"),"Rapport loueur à obtenir",IF(NOT(ISNUMBER($G141)),"Vérif. initiale à tracer",IF($H141&lt;0,"En retard",IF(AND($Q141="Location",$S141&lt;&gt;"Oui"),"Rapport loueur à obtenir",IF($H141&lt;='Tableau de bord'!$C$4,"À planifier","À jour"))))))))))))</f>
      </c>
      <c r="J141" s="22">
        <f>IF($A141="","",COUNTIFS(Réserves!$B$2:$B$301,$A141,Réserves!$J$2:$J$301,"Ouverte")+COUNTIFS(Réserves!$B$2:$B$301,$A141,Réserves!$J$2:$J$301,"En retard"))</f>
      </c>
      <c r="K141" s="20">
        <f>IF($C141="","",IFERROR(INDEX('Référentiel'!$B$2:$B$83,MATCH($C141,'Référentiel'!$A$2:$A$83,0)),"Type hors liste"))</f>
      </c>
      <c r="L141" s="22">
        <f>IF($C141="","",IF(IFERROR(INDEX('Référentiel'!$C$2:$C$83,MATCH($C141,'Référentiel'!$A$2:$A$83,0)),0)=0,"",IFERROR(INDEX('Référentiel'!$C$2:$C$83,MATCH($C141,'Référentiel'!$A$2:$A$83,0)),0)))</f>
      </c>
      <c r="M141" s="23"/>
      <c r="N141" s="22">
        <f>IF($C141="","",IF(IF($M141&lt;&gt;"",IF($L141&lt;&gt;"",MIN($L141,$M141),$M141),IF($L141&lt;&gt;"",$L141,IF(IFERROR(INDEX('Référentiel'!$D$2:$D$83,MATCH($C141,'Référentiel'!$A$2:$A$83,0)),0)&gt;0,IFERROR(INDEX('Référentiel'!$D$2:$D$83,MATCH($C141,'Référentiel'!$A$2:$A$83,0)),0),"")))="","",IF(AND(IFERROR(INDEX('Référentiel'!$F$2:$F$83,MATCH($C141,'Référentiel'!$A$2:$A$83,0)),0)&gt;0,N($J141)&gt;0),MIN(IF($M141&lt;&gt;"",IF($L141&lt;&gt;"",MIN($L141,$M141),$M141),IF($L141&lt;&gt;"",$L141,IF(IFERROR(INDEX('Référentiel'!$D$2:$D$83,MATCH($C141,'Référentiel'!$A$2:$A$83,0)),0)&gt;0,IFERROR(INDEX('Référentiel'!$D$2:$D$83,MATCH($C141,'Référentiel'!$A$2:$A$83,0)),0),""))),IFERROR(INDEX('Référentiel'!$F$2:$F$83,MATCH($C141,'Référentiel'!$A$2:$A$83,0)),0)),IF($M141&lt;&gt;"",IF($L141&lt;&gt;"",MIN($L141,$M141),$M141),IF($L141&lt;&gt;"",$L141,IF(IFERROR(INDEX('Référentiel'!$D$2:$D$83,MATCH($C141,'Référentiel'!$A$2:$A$83,0)),0)&gt;0,IFERROR(INDEX('Référentiel'!$D$2:$D$83,MATCH($C141,'Référentiel'!$A$2:$A$83,0)),0),""))))))</f>
      </c>
      <c r="O141" s="9"/>
      <c r="P141" s="23"/>
      <c r="Q141" s="9"/>
      <c r="R141" s="24"/>
      <c r="S141" s="23"/>
      <c r="T141" s="23"/>
      <c r="U141" s="24"/>
      <c r="V141" s="20">
        <f>IF($C141="","",IFERROR(INDEX('Référentiel'!$K$2:$K$83,MATCH($C141,'Référentiel'!$A$2:$A$83,0)),""))</f>
      </c>
      <c r="W141" s="20">
        <f>IF(AND(ISNUMBER($G141),$I141&lt;&gt;"Hors service",$I141&lt;&gt;"Location terminée"),$G141+ROW()/100000,"")</f>
      </c>
      <c r="X141" s="9"/>
    </row>
    <row r="142" spans="1:24" x14ac:dyDescent="0.25">
      <c r="A142" s="9"/>
      <c r="B142" s="9"/>
      <c r="C142" s="9"/>
      <c r="D142" s="9"/>
      <c r="E142" s="19">
        <f>IF($A142="","",IF(SUMPRODUCT(MAX((Vérifications!$B$2:$B$1001=$A142)*Vérifications!$L$2:$L$1001))=0,"",SUMPRODUCT(MAX((Vérifications!$B$2:$B$1001=$A142)*Vérifications!$L$2:$L$1001))))</f>
      </c>
      <c r="F142" s="20">
        <f>IF($E142="","",IFERROR(INDEX(Vérifications!$E$2:$E$1001,MATCH($A142&amp;"|"&amp;$E142,Vérifications!$M$2:$M$1001,0)),""))</f>
      </c>
      <c r="G142" s="19">
        <f>IF($N142="","",IF(ISNUMBER($E142),EDATE($E142,$N142),IF(AND(ISNUMBER($U142),IFERROR(INDEX('Référentiel'!$E$2:$E$83,MATCH($C142,'Référentiel'!$A$2:$A$83,0)),0)&gt;0),EDATE($U142,IFERROR(INDEX('Référentiel'!$E$2:$E$83,MATCH($C142,'Référentiel'!$A$2:$A$83,0)),0)),"")))</f>
      </c>
      <c r="H142" s="21">
        <f>IF(ISNUMBER($G142),$G142-TODAY(),"")</f>
      </c>
      <c r="I142" s="20">
        <f>IF(AND($A142="",$C142=""),"",IF($T142="Non","Hors service",IF(AND($Q142="Location",ISNUMBER($R142),$R142&lt;TODAY()),"Location terminée",IF(OR($F142="Mise à l'arrêt",IF($A142="",0,SUMPRODUCT((Réserves!$B$2:$B$301=$A142)*(Réserves!$E$2:$E$301="Mise à l'arrêt")*(Réserves!$J$2:$J$301&lt;&gt;"Levée")*(Réserves!$J$2:$J$301&lt;&gt;"")))&gt;0),"Arrêt : réserve à lever",IF($C142="","Type à choisir",IF($N142="","Périodicité à saisir",IF(OR(ISTEXT($U142),ISTEXT($R142)),"Date à corriger",IF(AND($E142="",$Q142="Location",$S142&lt;&gt;"Oui"),"Rapport loueur à obtenir",IF(NOT(ISNUMBER($G142)),"Vérif. initiale à tracer",IF($H142&lt;0,"En retard",IF(AND($Q142="Location",$S142&lt;&gt;"Oui"),"Rapport loueur à obtenir",IF($H142&lt;='Tableau de bord'!$C$4,"À planifier","À jour"))))))))))))</f>
      </c>
      <c r="J142" s="22">
        <f>IF($A142="","",COUNTIFS(Réserves!$B$2:$B$301,$A142,Réserves!$J$2:$J$301,"Ouverte")+COUNTIFS(Réserves!$B$2:$B$301,$A142,Réserves!$J$2:$J$301,"En retard"))</f>
      </c>
      <c r="K142" s="20">
        <f>IF($C142="","",IFERROR(INDEX('Référentiel'!$B$2:$B$83,MATCH($C142,'Référentiel'!$A$2:$A$83,0)),"Type hors liste"))</f>
      </c>
      <c r="L142" s="22">
        <f>IF($C142="","",IF(IFERROR(INDEX('Référentiel'!$C$2:$C$83,MATCH($C142,'Référentiel'!$A$2:$A$83,0)),0)=0,"",IFERROR(INDEX('Référentiel'!$C$2:$C$83,MATCH($C142,'Référentiel'!$A$2:$A$83,0)),0)))</f>
      </c>
      <c r="M142" s="23"/>
      <c r="N142" s="22">
        <f>IF($C142="","",IF(IF($M142&lt;&gt;"",IF($L142&lt;&gt;"",MIN($L142,$M142),$M142),IF($L142&lt;&gt;"",$L142,IF(IFERROR(INDEX('Référentiel'!$D$2:$D$83,MATCH($C142,'Référentiel'!$A$2:$A$83,0)),0)&gt;0,IFERROR(INDEX('Référentiel'!$D$2:$D$83,MATCH($C142,'Référentiel'!$A$2:$A$83,0)),0),"")))="","",IF(AND(IFERROR(INDEX('Référentiel'!$F$2:$F$83,MATCH($C142,'Référentiel'!$A$2:$A$83,0)),0)&gt;0,N($J142)&gt;0),MIN(IF($M142&lt;&gt;"",IF($L142&lt;&gt;"",MIN($L142,$M142),$M142),IF($L142&lt;&gt;"",$L142,IF(IFERROR(INDEX('Référentiel'!$D$2:$D$83,MATCH($C142,'Référentiel'!$A$2:$A$83,0)),0)&gt;0,IFERROR(INDEX('Référentiel'!$D$2:$D$83,MATCH($C142,'Référentiel'!$A$2:$A$83,0)),0),""))),IFERROR(INDEX('Référentiel'!$F$2:$F$83,MATCH($C142,'Référentiel'!$A$2:$A$83,0)),0)),IF($M142&lt;&gt;"",IF($L142&lt;&gt;"",MIN($L142,$M142),$M142),IF($L142&lt;&gt;"",$L142,IF(IFERROR(INDEX('Référentiel'!$D$2:$D$83,MATCH($C142,'Référentiel'!$A$2:$A$83,0)),0)&gt;0,IFERROR(INDEX('Référentiel'!$D$2:$D$83,MATCH($C142,'Référentiel'!$A$2:$A$83,0)),0),""))))))</f>
      </c>
      <c r="O142" s="9"/>
      <c r="P142" s="23"/>
      <c r="Q142" s="9"/>
      <c r="R142" s="24"/>
      <c r="S142" s="23"/>
      <c r="T142" s="23"/>
      <c r="U142" s="24"/>
      <c r="V142" s="20">
        <f>IF($C142="","",IFERROR(INDEX('Référentiel'!$K$2:$K$83,MATCH($C142,'Référentiel'!$A$2:$A$83,0)),""))</f>
      </c>
      <c r="W142" s="20">
        <f>IF(AND(ISNUMBER($G142),$I142&lt;&gt;"Hors service",$I142&lt;&gt;"Location terminée"),$G142+ROW()/100000,"")</f>
      </c>
      <c r="X142" s="9"/>
    </row>
    <row r="143" spans="1:24" x14ac:dyDescent="0.25">
      <c r="A143" s="9"/>
      <c r="B143" s="9"/>
      <c r="C143" s="9"/>
      <c r="D143" s="9"/>
      <c r="E143" s="19">
        <f>IF($A143="","",IF(SUMPRODUCT(MAX((Vérifications!$B$2:$B$1001=$A143)*Vérifications!$L$2:$L$1001))=0,"",SUMPRODUCT(MAX((Vérifications!$B$2:$B$1001=$A143)*Vérifications!$L$2:$L$1001))))</f>
      </c>
      <c r="F143" s="20">
        <f>IF($E143="","",IFERROR(INDEX(Vérifications!$E$2:$E$1001,MATCH($A143&amp;"|"&amp;$E143,Vérifications!$M$2:$M$1001,0)),""))</f>
      </c>
      <c r="G143" s="19">
        <f>IF($N143="","",IF(ISNUMBER($E143),EDATE($E143,$N143),IF(AND(ISNUMBER($U143),IFERROR(INDEX('Référentiel'!$E$2:$E$83,MATCH($C143,'Référentiel'!$A$2:$A$83,0)),0)&gt;0),EDATE($U143,IFERROR(INDEX('Référentiel'!$E$2:$E$83,MATCH($C143,'Référentiel'!$A$2:$A$83,0)),0)),"")))</f>
      </c>
      <c r="H143" s="21">
        <f>IF(ISNUMBER($G143),$G143-TODAY(),"")</f>
      </c>
      <c r="I143" s="20">
        <f>IF(AND($A143="",$C143=""),"",IF($T143="Non","Hors service",IF(AND($Q143="Location",ISNUMBER($R143),$R143&lt;TODAY()),"Location terminée",IF(OR($F143="Mise à l'arrêt",IF($A143="",0,SUMPRODUCT((Réserves!$B$2:$B$301=$A143)*(Réserves!$E$2:$E$301="Mise à l'arrêt")*(Réserves!$J$2:$J$301&lt;&gt;"Levée")*(Réserves!$J$2:$J$301&lt;&gt;"")))&gt;0),"Arrêt : réserve à lever",IF($C143="","Type à choisir",IF($N143="","Périodicité à saisir",IF(OR(ISTEXT($U143),ISTEXT($R143)),"Date à corriger",IF(AND($E143="",$Q143="Location",$S143&lt;&gt;"Oui"),"Rapport loueur à obtenir",IF(NOT(ISNUMBER($G143)),"Vérif. initiale à tracer",IF($H143&lt;0,"En retard",IF(AND($Q143="Location",$S143&lt;&gt;"Oui"),"Rapport loueur à obtenir",IF($H143&lt;='Tableau de bord'!$C$4,"À planifier","À jour"))))))))))))</f>
      </c>
      <c r="J143" s="22">
        <f>IF($A143="","",COUNTIFS(Réserves!$B$2:$B$301,$A143,Réserves!$J$2:$J$301,"Ouverte")+COUNTIFS(Réserves!$B$2:$B$301,$A143,Réserves!$J$2:$J$301,"En retard"))</f>
      </c>
      <c r="K143" s="20">
        <f>IF($C143="","",IFERROR(INDEX('Référentiel'!$B$2:$B$83,MATCH($C143,'Référentiel'!$A$2:$A$83,0)),"Type hors liste"))</f>
      </c>
      <c r="L143" s="22">
        <f>IF($C143="","",IF(IFERROR(INDEX('Référentiel'!$C$2:$C$83,MATCH($C143,'Référentiel'!$A$2:$A$83,0)),0)=0,"",IFERROR(INDEX('Référentiel'!$C$2:$C$83,MATCH($C143,'Référentiel'!$A$2:$A$83,0)),0)))</f>
      </c>
      <c r="M143" s="23"/>
      <c r="N143" s="22">
        <f>IF($C143="","",IF(IF($M143&lt;&gt;"",IF($L143&lt;&gt;"",MIN($L143,$M143),$M143),IF($L143&lt;&gt;"",$L143,IF(IFERROR(INDEX('Référentiel'!$D$2:$D$83,MATCH($C143,'Référentiel'!$A$2:$A$83,0)),0)&gt;0,IFERROR(INDEX('Référentiel'!$D$2:$D$83,MATCH($C143,'Référentiel'!$A$2:$A$83,0)),0),"")))="","",IF(AND(IFERROR(INDEX('Référentiel'!$F$2:$F$83,MATCH($C143,'Référentiel'!$A$2:$A$83,0)),0)&gt;0,N($J143)&gt;0),MIN(IF($M143&lt;&gt;"",IF($L143&lt;&gt;"",MIN($L143,$M143),$M143),IF($L143&lt;&gt;"",$L143,IF(IFERROR(INDEX('Référentiel'!$D$2:$D$83,MATCH($C143,'Référentiel'!$A$2:$A$83,0)),0)&gt;0,IFERROR(INDEX('Référentiel'!$D$2:$D$83,MATCH($C143,'Référentiel'!$A$2:$A$83,0)),0),""))),IFERROR(INDEX('Référentiel'!$F$2:$F$83,MATCH($C143,'Référentiel'!$A$2:$A$83,0)),0)),IF($M143&lt;&gt;"",IF($L143&lt;&gt;"",MIN($L143,$M143),$M143),IF($L143&lt;&gt;"",$L143,IF(IFERROR(INDEX('Référentiel'!$D$2:$D$83,MATCH($C143,'Référentiel'!$A$2:$A$83,0)),0)&gt;0,IFERROR(INDEX('Référentiel'!$D$2:$D$83,MATCH($C143,'Référentiel'!$A$2:$A$83,0)),0),""))))))</f>
      </c>
      <c r="O143" s="9"/>
      <c r="P143" s="23"/>
      <c r="Q143" s="9"/>
      <c r="R143" s="24"/>
      <c r="S143" s="23"/>
      <c r="T143" s="23"/>
      <c r="U143" s="24"/>
      <c r="V143" s="20">
        <f>IF($C143="","",IFERROR(INDEX('Référentiel'!$K$2:$K$83,MATCH($C143,'Référentiel'!$A$2:$A$83,0)),""))</f>
      </c>
      <c r="W143" s="20">
        <f>IF(AND(ISNUMBER($G143),$I143&lt;&gt;"Hors service",$I143&lt;&gt;"Location terminée"),$G143+ROW()/100000,"")</f>
      </c>
      <c r="X143" s="9"/>
    </row>
    <row r="144" spans="1:24" x14ac:dyDescent="0.25">
      <c r="A144" s="9"/>
      <c r="B144" s="9"/>
      <c r="C144" s="9"/>
      <c r="D144" s="9"/>
      <c r="E144" s="19">
        <f>IF($A144="","",IF(SUMPRODUCT(MAX((Vérifications!$B$2:$B$1001=$A144)*Vérifications!$L$2:$L$1001))=0,"",SUMPRODUCT(MAX((Vérifications!$B$2:$B$1001=$A144)*Vérifications!$L$2:$L$1001))))</f>
      </c>
      <c r="F144" s="20">
        <f>IF($E144="","",IFERROR(INDEX(Vérifications!$E$2:$E$1001,MATCH($A144&amp;"|"&amp;$E144,Vérifications!$M$2:$M$1001,0)),""))</f>
      </c>
      <c r="G144" s="19">
        <f>IF($N144="","",IF(ISNUMBER($E144),EDATE($E144,$N144),IF(AND(ISNUMBER($U144),IFERROR(INDEX('Référentiel'!$E$2:$E$83,MATCH($C144,'Référentiel'!$A$2:$A$83,0)),0)&gt;0),EDATE($U144,IFERROR(INDEX('Référentiel'!$E$2:$E$83,MATCH($C144,'Référentiel'!$A$2:$A$83,0)),0)),"")))</f>
      </c>
      <c r="H144" s="21">
        <f>IF(ISNUMBER($G144),$G144-TODAY(),"")</f>
      </c>
      <c r="I144" s="20">
        <f>IF(AND($A144="",$C144=""),"",IF($T144="Non","Hors service",IF(AND($Q144="Location",ISNUMBER($R144),$R144&lt;TODAY()),"Location terminée",IF(OR($F144="Mise à l'arrêt",IF($A144="",0,SUMPRODUCT((Réserves!$B$2:$B$301=$A144)*(Réserves!$E$2:$E$301="Mise à l'arrêt")*(Réserves!$J$2:$J$301&lt;&gt;"Levée")*(Réserves!$J$2:$J$301&lt;&gt;"")))&gt;0),"Arrêt : réserve à lever",IF($C144="","Type à choisir",IF($N144="","Périodicité à saisir",IF(OR(ISTEXT($U144),ISTEXT($R144)),"Date à corriger",IF(AND($E144="",$Q144="Location",$S144&lt;&gt;"Oui"),"Rapport loueur à obtenir",IF(NOT(ISNUMBER($G144)),"Vérif. initiale à tracer",IF($H144&lt;0,"En retard",IF(AND($Q144="Location",$S144&lt;&gt;"Oui"),"Rapport loueur à obtenir",IF($H144&lt;='Tableau de bord'!$C$4,"À planifier","À jour"))))))))))))</f>
      </c>
      <c r="J144" s="22">
        <f>IF($A144="","",COUNTIFS(Réserves!$B$2:$B$301,$A144,Réserves!$J$2:$J$301,"Ouverte")+COUNTIFS(Réserves!$B$2:$B$301,$A144,Réserves!$J$2:$J$301,"En retard"))</f>
      </c>
      <c r="K144" s="20">
        <f>IF($C144="","",IFERROR(INDEX('Référentiel'!$B$2:$B$83,MATCH($C144,'Référentiel'!$A$2:$A$83,0)),"Type hors liste"))</f>
      </c>
      <c r="L144" s="22">
        <f>IF($C144="","",IF(IFERROR(INDEX('Référentiel'!$C$2:$C$83,MATCH($C144,'Référentiel'!$A$2:$A$83,0)),0)=0,"",IFERROR(INDEX('Référentiel'!$C$2:$C$83,MATCH($C144,'Référentiel'!$A$2:$A$83,0)),0)))</f>
      </c>
      <c r="M144" s="23"/>
      <c r="N144" s="22">
        <f>IF($C144="","",IF(IF($M144&lt;&gt;"",IF($L144&lt;&gt;"",MIN($L144,$M144),$M144),IF($L144&lt;&gt;"",$L144,IF(IFERROR(INDEX('Référentiel'!$D$2:$D$83,MATCH($C144,'Référentiel'!$A$2:$A$83,0)),0)&gt;0,IFERROR(INDEX('Référentiel'!$D$2:$D$83,MATCH($C144,'Référentiel'!$A$2:$A$83,0)),0),"")))="","",IF(AND(IFERROR(INDEX('Référentiel'!$F$2:$F$83,MATCH($C144,'Référentiel'!$A$2:$A$83,0)),0)&gt;0,N($J144)&gt;0),MIN(IF($M144&lt;&gt;"",IF($L144&lt;&gt;"",MIN($L144,$M144),$M144),IF($L144&lt;&gt;"",$L144,IF(IFERROR(INDEX('Référentiel'!$D$2:$D$83,MATCH($C144,'Référentiel'!$A$2:$A$83,0)),0)&gt;0,IFERROR(INDEX('Référentiel'!$D$2:$D$83,MATCH($C144,'Référentiel'!$A$2:$A$83,0)),0),""))),IFERROR(INDEX('Référentiel'!$F$2:$F$83,MATCH($C144,'Référentiel'!$A$2:$A$83,0)),0)),IF($M144&lt;&gt;"",IF($L144&lt;&gt;"",MIN($L144,$M144),$M144),IF($L144&lt;&gt;"",$L144,IF(IFERROR(INDEX('Référentiel'!$D$2:$D$83,MATCH($C144,'Référentiel'!$A$2:$A$83,0)),0)&gt;0,IFERROR(INDEX('Référentiel'!$D$2:$D$83,MATCH($C144,'Référentiel'!$A$2:$A$83,0)),0),""))))))</f>
      </c>
      <c r="O144" s="9"/>
      <c r="P144" s="23"/>
      <c r="Q144" s="9"/>
      <c r="R144" s="24"/>
      <c r="S144" s="23"/>
      <c r="T144" s="23"/>
      <c r="U144" s="24"/>
      <c r="V144" s="20">
        <f>IF($C144="","",IFERROR(INDEX('Référentiel'!$K$2:$K$83,MATCH($C144,'Référentiel'!$A$2:$A$83,0)),""))</f>
      </c>
      <c r="W144" s="20">
        <f>IF(AND(ISNUMBER($G144),$I144&lt;&gt;"Hors service",$I144&lt;&gt;"Location terminée"),$G144+ROW()/100000,"")</f>
      </c>
      <c r="X144" s="9"/>
    </row>
    <row r="145" spans="1:24" x14ac:dyDescent="0.25">
      <c r="A145" s="9"/>
      <c r="B145" s="9"/>
      <c r="C145" s="9"/>
      <c r="D145" s="9"/>
      <c r="E145" s="19">
        <f>IF($A145="","",IF(SUMPRODUCT(MAX((Vérifications!$B$2:$B$1001=$A145)*Vérifications!$L$2:$L$1001))=0,"",SUMPRODUCT(MAX((Vérifications!$B$2:$B$1001=$A145)*Vérifications!$L$2:$L$1001))))</f>
      </c>
      <c r="F145" s="20">
        <f>IF($E145="","",IFERROR(INDEX(Vérifications!$E$2:$E$1001,MATCH($A145&amp;"|"&amp;$E145,Vérifications!$M$2:$M$1001,0)),""))</f>
      </c>
      <c r="G145" s="19">
        <f>IF($N145="","",IF(ISNUMBER($E145),EDATE($E145,$N145),IF(AND(ISNUMBER($U145),IFERROR(INDEX('Référentiel'!$E$2:$E$83,MATCH($C145,'Référentiel'!$A$2:$A$83,0)),0)&gt;0),EDATE($U145,IFERROR(INDEX('Référentiel'!$E$2:$E$83,MATCH($C145,'Référentiel'!$A$2:$A$83,0)),0)),"")))</f>
      </c>
      <c r="H145" s="21">
        <f>IF(ISNUMBER($G145),$G145-TODAY(),"")</f>
      </c>
      <c r="I145" s="20">
        <f>IF(AND($A145="",$C145=""),"",IF($T145="Non","Hors service",IF(AND($Q145="Location",ISNUMBER($R145),$R145&lt;TODAY()),"Location terminée",IF(OR($F145="Mise à l'arrêt",IF($A145="",0,SUMPRODUCT((Réserves!$B$2:$B$301=$A145)*(Réserves!$E$2:$E$301="Mise à l'arrêt")*(Réserves!$J$2:$J$301&lt;&gt;"Levée")*(Réserves!$J$2:$J$301&lt;&gt;"")))&gt;0),"Arrêt : réserve à lever",IF($C145="","Type à choisir",IF($N145="","Périodicité à saisir",IF(OR(ISTEXT($U145),ISTEXT($R145)),"Date à corriger",IF(AND($E145="",$Q145="Location",$S145&lt;&gt;"Oui"),"Rapport loueur à obtenir",IF(NOT(ISNUMBER($G145)),"Vérif. initiale à tracer",IF($H145&lt;0,"En retard",IF(AND($Q145="Location",$S145&lt;&gt;"Oui"),"Rapport loueur à obtenir",IF($H145&lt;='Tableau de bord'!$C$4,"À planifier","À jour"))))))))))))</f>
      </c>
      <c r="J145" s="22">
        <f>IF($A145="","",COUNTIFS(Réserves!$B$2:$B$301,$A145,Réserves!$J$2:$J$301,"Ouverte")+COUNTIFS(Réserves!$B$2:$B$301,$A145,Réserves!$J$2:$J$301,"En retard"))</f>
      </c>
      <c r="K145" s="20">
        <f>IF($C145="","",IFERROR(INDEX('Référentiel'!$B$2:$B$83,MATCH($C145,'Référentiel'!$A$2:$A$83,0)),"Type hors liste"))</f>
      </c>
      <c r="L145" s="22">
        <f>IF($C145="","",IF(IFERROR(INDEX('Référentiel'!$C$2:$C$83,MATCH($C145,'Référentiel'!$A$2:$A$83,0)),0)=0,"",IFERROR(INDEX('Référentiel'!$C$2:$C$83,MATCH($C145,'Référentiel'!$A$2:$A$83,0)),0)))</f>
      </c>
      <c r="M145" s="23"/>
      <c r="N145" s="22">
        <f>IF($C145="","",IF(IF($M145&lt;&gt;"",IF($L145&lt;&gt;"",MIN($L145,$M145),$M145),IF($L145&lt;&gt;"",$L145,IF(IFERROR(INDEX('Référentiel'!$D$2:$D$83,MATCH($C145,'Référentiel'!$A$2:$A$83,0)),0)&gt;0,IFERROR(INDEX('Référentiel'!$D$2:$D$83,MATCH($C145,'Référentiel'!$A$2:$A$83,0)),0),"")))="","",IF(AND(IFERROR(INDEX('Référentiel'!$F$2:$F$83,MATCH($C145,'Référentiel'!$A$2:$A$83,0)),0)&gt;0,N($J145)&gt;0),MIN(IF($M145&lt;&gt;"",IF($L145&lt;&gt;"",MIN($L145,$M145),$M145),IF($L145&lt;&gt;"",$L145,IF(IFERROR(INDEX('Référentiel'!$D$2:$D$83,MATCH($C145,'Référentiel'!$A$2:$A$83,0)),0)&gt;0,IFERROR(INDEX('Référentiel'!$D$2:$D$83,MATCH($C145,'Référentiel'!$A$2:$A$83,0)),0),""))),IFERROR(INDEX('Référentiel'!$F$2:$F$83,MATCH($C145,'Référentiel'!$A$2:$A$83,0)),0)),IF($M145&lt;&gt;"",IF($L145&lt;&gt;"",MIN($L145,$M145),$M145),IF($L145&lt;&gt;"",$L145,IF(IFERROR(INDEX('Référentiel'!$D$2:$D$83,MATCH($C145,'Référentiel'!$A$2:$A$83,0)),0)&gt;0,IFERROR(INDEX('Référentiel'!$D$2:$D$83,MATCH($C145,'Référentiel'!$A$2:$A$83,0)),0),""))))))</f>
      </c>
      <c r="O145" s="9"/>
      <c r="P145" s="23"/>
      <c r="Q145" s="9"/>
      <c r="R145" s="24"/>
      <c r="S145" s="23"/>
      <c r="T145" s="23"/>
      <c r="U145" s="24"/>
      <c r="V145" s="20">
        <f>IF($C145="","",IFERROR(INDEX('Référentiel'!$K$2:$K$83,MATCH($C145,'Référentiel'!$A$2:$A$83,0)),""))</f>
      </c>
      <c r="W145" s="20">
        <f>IF(AND(ISNUMBER($G145),$I145&lt;&gt;"Hors service",$I145&lt;&gt;"Location terminée"),$G145+ROW()/100000,"")</f>
      </c>
      <c r="X145" s="9"/>
    </row>
    <row r="146" spans="1:24" x14ac:dyDescent="0.25">
      <c r="A146" s="9"/>
      <c r="B146" s="9"/>
      <c r="C146" s="9"/>
      <c r="D146" s="9"/>
      <c r="E146" s="19">
        <f>IF($A146="","",IF(SUMPRODUCT(MAX((Vérifications!$B$2:$B$1001=$A146)*Vérifications!$L$2:$L$1001))=0,"",SUMPRODUCT(MAX((Vérifications!$B$2:$B$1001=$A146)*Vérifications!$L$2:$L$1001))))</f>
      </c>
      <c r="F146" s="20">
        <f>IF($E146="","",IFERROR(INDEX(Vérifications!$E$2:$E$1001,MATCH($A146&amp;"|"&amp;$E146,Vérifications!$M$2:$M$1001,0)),""))</f>
      </c>
      <c r="G146" s="19">
        <f>IF($N146="","",IF(ISNUMBER($E146),EDATE($E146,$N146),IF(AND(ISNUMBER($U146),IFERROR(INDEX('Référentiel'!$E$2:$E$83,MATCH($C146,'Référentiel'!$A$2:$A$83,0)),0)&gt;0),EDATE($U146,IFERROR(INDEX('Référentiel'!$E$2:$E$83,MATCH($C146,'Référentiel'!$A$2:$A$83,0)),0)),"")))</f>
      </c>
      <c r="H146" s="21">
        <f>IF(ISNUMBER($G146),$G146-TODAY(),"")</f>
      </c>
      <c r="I146" s="20">
        <f>IF(AND($A146="",$C146=""),"",IF($T146="Non","Hors service",IF(AND($Q146="Location",ISNUMBER($R146),$R146&lt;TODAY()),"Location terminée",IF(OR($F146="Mise à l'arrêt",IF($A146="",0,SUMPRODUCT((Réserves!$B$2:$B$301=$A146)*(Réserves!$E$2:$E$301="Mise à l'arrêt")*(Réserves!$J$2:$J$301&lt;&gt;"Levée")*(Réserves!$J$2:$J$301&lt;&gt;"")))&gt;0),"Arrêt : réserve à lever",IF($C146="","Type à choisir",IF($N146="","Périodicité à saisir",IF(OR(ISTEXT($U146),ISTEXT($R146)),"Date à corriger",IF(AND($E146="",$Q146="Location",$S146&lt;&gt;"Oui"),"Rapport loueur à obtenir",IF(NOT(ISNUMBER($G146)),"Vérif. initiale à tracer",IF($H146&lt;0,"En retard",IF(AND($Q146="Location",$S146&lt;&gt;"Oui"),"Rapport loueur à obtenir",IF($H146&lt;='Tableau de bord'!$C$4,"À planifier","À jour"))))))))))))</f>
      </c>
      <c r="J146" s="22">
        <f>IF($A146="","",COUNTIFS(Réserves!$B$2:$B$301,$A146,Réserves!$J$2:$J$301,"Ouverte")+COUNTIFS(Réserves!$B$2:$B$301,$A146,Réserves!$J$2:$J$301,"En retard"))</f>
      </c>
      <c r="K146" s="20">
        <f>IF($C146="","",IFERROR(INDEX('Référentiel'!$B$2:$B$83,MATCH($C146,'Référentiel'!$A$2:$A$83,0)),"Type hors liste"))</f>
      </c>
      <c r="L146" s="22">
        <f>IF($C146="","",IF(IFERROR(INDEX('Référentiel'!$C$2:$C$83,MATCH($C146,'Référentiel'!$A$2:$A$83,0)),0)=0,"",IFERROR(INDEX('Référentiel'!$C$2:$C$83,MATCH($C146,'Référentiel'!$A$2:$A$83,0)),0)))</f>
      </c>
      <c r="M146" s="23"/>
      <c r="N146" s="22">
        <f>IF($C146="","",IF(IF($M146&lt;&gt;"",IF($L146&lt;&gt;"",MIN($L146,$M146),$M146),IF($L146&lt;&gt;"",$L146,IF(IFERROR(INDEX('Référentiel'!$D$2:$D$83,MATCH($C146,'Référentiel'!$A$2:$A$83,0)),0)&gt;0,IFERROR(INDEX('Référentiel'!$D$2:$D$83,MATCH($C146,'Référentiel'!$A$2:$A$83,0)),0),"")))="","",IF(AND(IFERROR(INDEX('Référentiel'!$F$2:$F$83,MATCH($C146,'Référentiel'!$A$2:$A$83,0)),0)&gt;0,N($J146)&gt;0),MIN(IF($M146&lt;&gt;"",IF($L146&lt;&gt;"",MIN($L146,$M146),$M146),IF($L146&lt;&gt;"",$L146,IF(IFERROR(INDEX('Référentiel'!$D$2:$D$83,MATCH($C146,'Référentiel'!$A$2:$A$83,0)),0)&gt;0,IFERROR(INDEX('Référentiel'!$D$2:$D$83,MATCH($C146,'Référentiel'!$A$2:$A$83,0)),0),""))),IFERROR(INDEX('Référentiel'!$F$2:$F$83,MATCH($C146,'Référentiel'!$A$2:$A$83,0)),0)),IF($M146&lt;&gt;"",IF($L146&lt;&gt;"",MIN($L146,$M146),$M146),IF($L146&lt;&gt;"",$L146,IF(IFERROR(INDEX('Référentiel'!$D$2:$D$83,MATCH($C146,'Référentiel'!$A$2:$A$83,0)),0)&gt;0,IFERROR(INDEX('Référentiel'!$D$2:$D$83,MATCH($C146,'Référentiel'!$A$2:$A$83,0)),0),""))))))</f>
      </c>
      <c r="O146" s="9"/>
      <c r="P146" s="23"/>
      <c r="Q146" s="9"/>
      <c r="R146" s="24"/>
      <c r="S146" s="23"/>
      <c r="T146" s="23"/>
      <c r="U146" s="24"/>
      <c r="V146" s="20">
        <f>IF($C146="","",IFERROR(INDEX('Référentiel'!$K$2:$K$83,MATCH($C146,'Référentiel'!$A$2:$A$83,0)),""))</f>
      </c>
      <c r="W146" s="20">
        <f>IF(AND(ISNUMBER($G146),$I146&lt;&gt;"Hors service",$I146&lt;&gt;"Location terminée"),$G146+ROW()/100000,"")</f>
      </c>
      <c r="X146" s="9"/>
    </row>
    <row r="147" spans="1:24" x14ac:dyDescent="0.25">
      <c r="A147" s="9"/>
      <c r="B147" s="9"/>
      <c r="C147" s="9"/>
      <c r="D147" s="9"/>
      <c r="E147" s="19">
        <f>IF($A147="","",IF(SUMPRODUCT(MAX((Vérifications!$B$2:$B$1001=$A147)*Vérifications!$L$2:$L$1001))=0,"",SUMPRODUCT(MAX((Vérifications!$B$2:$B$1001=$A147)*Vérifications!$L$2:$L$1001))))</f>
      </c>
      <c r="F147" s="20">
        <f>IF($E147="","",IFERROR(INDEX(Vérifications!$E$2:$E$1001,MATCH($A147&amp;"|"&amp;$E147,Vérifications!$M$2:$M$1001,0)),""))</f>
      </c>
      <c r="G147" s="19">
        <f>IF($N147="","",IF(ISNUMBER($E147),EDATE($E147,$N147),IF(AND(ISNUMBER($U147),IFERROR(INDEX('Référentiel'!$E$2:$E$83,MATCH($C147,'Référentiel'!$A$2:$A$83,0)),0)&gt;0),EDATE($U147,IFERROR(INDEX('Référentiel'!$E$2:$E$83,MATCH($C147,'Référentiel'!$A$2:$A$83,0)),0)),"")))</f>
      </c>
      <c r="H147" s="21">
        <f>IF(ISNUMBER($G147),$G147-TODAY(),"")</f>
      </c>
      <c r="I147" s="20">
        <f>IF(AND($A147="",$C147=""),"",IF($T147="Non","Hors service",IF(AND($Q147="Location",ISNUMBER($R147),$R147&lt;TODAY()),"Location terminée",IF(OR($F147="Mise à l'arrêt",IF($A147="",0,SUMPRODUCT((Réserves!$B$2:$B$301=$A147)*(Réserves!$E$2:$E$301="Mise à l'arrêt")*(Réserves!$J$2:$J$301&lt;&gt;"Levée")*(Réserves!$J$2:$J$301&lt;&gt;"")))&gt;0),"Arrêt : réserve à lever",IF($C147="","Type à choisir",IF($N147="","Périodicité à saisir",IF(OR(ISTEXT($U147),ISTEXT($R147)),"Date à corriger",IF(AND($E147="",$Q147="Location",$S147&lt;&gt;"Oui"),"Rapport loueur à obtenir",IF(NOT(ISNUMBER($G147)),"Vérif. initiale à tracer",IF($H147&lt;0,"En retard",IF(AND($Q147="Location",$S147&lt;&gt;"Oui"),"Rapport loueur à obtenir",IF($H147&lt;='Tableau de bord'!$C$4,"À planifier","À jour"))))))))))))</f>
      </c>
      <c r="J147" s="22">
        <f>IF($A147="","",COUNTIFS(Réserves!$B$2:$B$301,$A147,Réserves!$J$2:$J$301,"Ouverte")+COUNTIFS(Réserves!$B$2:$B$301,$A147,Réserves!$J$2:$J$301,"En retard"))</f>
      </c>
      <c r="K147" s="20">
        <f>IF($C147="","",IFERROR(INDEX('Référentiel'!$B$2:$B$83,MATCH($C147,'Référentiel'!$A$2:$A$83,0)),"Type hors liste"))</f>
      </c>
      <c r="L147" s="22">
        <f>IF($C147="","",IF(IFERROR(INDEX('Référentiel'!$C$2:$C$83,MATCH($C147,'Référentiel'!$A$2:$A$83,0)),0)=0,"",IFERROR(INDEX('Référentiel'!$C$2:$C$83,MATCH($C147,'Référentiel'!$A$2:$A$83,0)),0)))</f>
      </c>
      <c r="M147" s="23"/>
      <c r="N147" s="22">
        <f>IF($C147="","",IF(IF($M147&lt;&gt;"",IF($L147&lt;&gt;"",MIN($L147,$M147),$M147),IF($L147&lt;&gt;"",$L147,IF(IFERROR(INDEX('Référentiel'!$D$2:$D$83,MATCH($C147,'Référentiel'!$A$2:$A$83,0)),0)&gt;0,IFERROR(INDEX('Référentiel'!$D$2:$D$83,MATCH($C147,'Référentiel'!$A$2:$A$83,0)),0),"")))="","",IF(AND(IFERROR(INDEX('Référentiel'!$F$2:$F$83,MATCH($C147,'Référentiel'!$A$2:$A$83,0)),0)&gt;0,N($J147)&gt;0),MIN(IF($M147&lt;&gt;"",IF($L147&lt;&gt;"",MIN($L147,$M147),$M147),IF($L147&lt;&gt;"",$L147,IF(IFERROR(INDEX('Référentiel'!$D$2:$D$83,MATCH($C147,'Référentiel'!$A$2:$A$83,0)),0)&gt;0,IFERROR(INDEX('Référentiel'!$D$2:$D$83,MATCH($C147,'Référentiel'!$A$2:$A$83,0)),0),""))),IFERROR(INDEX('Référentiel'!$F$2:$F$83,MATCH($C147,'Référentiel'!$A$2:$A$83,0)),0)),IF($M147&lt;&gt;"",IF($L147&lt;&gt;"",MIN($L147,$M147),$M147),IF($L147&lt;&gt;"",$L147,IF(IFERROR(INDEX('Référentiel'!$D$2:$D$83,MATCH($C147,'Référentiel'!$A$2:$A$83,0)),0)&gt;0,IFERROR(INDEX('Référentiel'!$D$2:$D$83,MATCH($C147,'Référentiel'!$A$2:$A$83,0)),0),""))))))</f>
      </c>
      <c r="O147" s="9"/>
      <c r="P147" s="23"/>
      <c r="Q147" s="9"/>
      <c r="R147" s="24"/>
      <c r="S147" s="23"/>
      <c r="T147" s="23"/>
      <c r="U147" s="24"/>
      <c r="V147" s="20">
        <f>IF($C147="","",IFERROR(INDEX('Référentiel'!$K$2:$K$83,MATCH($C147,'Référentiel'!$A$2:$A$83,0)),""))</f>
      </c>
      <c r="W147" s="20">
        <f>IF(AND(ISNUMBER($G147),$I147&lt;&gt;"Hors service",$I147&lt;&gt;"Location terminée"),$G147+ROW()/100000,"")</f>
      </c>
      <c r="X147" s="9"/>
    </row>
    <row r="148" spans="1:24" x14ac:dyDescent="0.25">
      <c r="A148" s="9"/>
      <c r="B148" s="9"/>
      <c r="C148" s="9"/>
      <c r="D148" s="9"/>
      <c r="E148" s="19">
        <f>IF($A148="","",IF(SUMPRODUCT(MAX((Vérifications!$B$2:$B$1001=$A148)*Vérifications!$L$2:$L$1001))=0,"",SUMPRODUCT(MAX((Vérifications!$B$2:$B$1001=$A148)*Vérifications!$L$2:$L$1001))))</f>
      </c>
      <c r="F148" s="20">
        <f>IF($E148="","",IFERROR(INDEX(Vérifications!$E$2:$E$1001,MATCH($A148&amp;"|"&amp;$E148,Vérifications!$M$2:$M$1001,0)),""))</f>
      </c>
      <c r="G148" s="19">
        <f>IF($N148="","",IF(ISNUMBER($E148),EDATE($E148,$N148),IF(AND(ISNUMBER($U148),IFERROR(INDEX('Référentiel'!$E$2:$E$83,MATCH($C148,'Référentiel'!$A$2:$A$83,0)),0)&gt;0),EDATE($U148,IFERROR(INDEX('Référentiel'!$E$2:$E$83,MATCH($C148,'Référentiel'!$A$2:$A$83,0)),0)),"")))</f>
      </c>
      <c r="H148" s="21">
        <f>IF(ISNUMBER($G148),$G148-TODAY(),"")</f>
      </c>
      <c r="I148" s="20">
        <f>IF(AND($A148="",$C148=""),"",IF($T148="Non","Hors service",IF(AND($Q148="Location",ISNUMBER($R148),$R148&lt;TODAY()),"Location terminée",IF(OR($F148="Mise à l'arrêt",IF($A148="",0,SUMPRODUCT((Réserves!$B$2:$B$301=$A148)*(Réserves!$E$2:$E$301="Mise à l'arrêt")*(Réserves!$J$2:$J$301&lt;&gt;"Levée")*(Réserves!$J$2:$J$301&lt;&gt;"")))&gt;0),"Arrêt : réserve à lever",IF($C148="","Type à choisir",IF($N148="","Périodicité à saisir",IF(OR(ISTEXT($U148),ISTEXT($R148)),"Date à corriger",IF(AND($E148="",$Q148="Location",$S148&lt;&gt;"Oui"),"Rapport loueur à obtenir",IF(NOT(ISNUMBER($G148)),"Vérif. initiale à tracer",IF($H148&lt;0,"En retard",IF(AND($Q148="Location",$S148&lt;&gt;"Oui"),"Rapport loueur à obtenir",IF($H148&lt;='Tableau de bord'!$C$4,"À planifier","À jour"))))))))))))</f>
      </c>
      <c r="J148" s="22">
        <f>IF($A148="","",COUNTIFS(Réserves!$B$2:$B$301,$A148,Réserves!$J$2:$J$301,"Ouverte")+COUNTIFS(Réserves!$B$2:$B$301,$A148,Réserves!$J$2:$J$301,"En retard"))</f>
      </c>
      <c r="K148" s="20">
        <f>IF($C148="","",IFERROR(INDEX('Référentiel'!$B$2:$B$83,MATCH($C148,'Référentiel'!$A$2:$A$83,0)),"Type hors liste"))</f>
      </c>
      <c r="L148" s="22">
        <f>IF($C148="","",IF(IFERROR(INDEX('Référentiel'!$C$2:$C$83,MATCH($C148,'Référentiel'!$A$2:$A$83,0)),0)=0,"",IFERROR(INDEX('Référentiel'!$C$2:$C$83,MATCH($C148,'Référentiel'!$A$2:$A$83,0)),0)))</f>
      </c>
      <c r="M148" s="23"/>
      <c r="N148" s="22">
        <f>IF($C148="","",IF(IF($M148&lt;&gt;"",IF($L148&lt;&gt;"",MIN($L148,$M148),$M148),IF($L148&lt;&gt;"",$L148,IF(IFERROR(INDEX('Référentiel'!$D$2:$D$83,MATCH($C148,'Référentiel'!$A$2:$A$83,0)),0)&gt;0,IFERROR(INDEX('Référentiel'!$D$2:$D$83,MATCH($C148,'Référentiel'!$A$2:$A$83,0)),0),"")))="","",IF(AND(IFERROR(INDEX('Référentiel'!$F$2:$F$83,MATCH($C148,'Référentiel'!$A$2:$A$83,0)),0)&gt;0,N($J148)&gt;0),MIN(IF($M148&lt;&gt;"",IF($L148&lt;&gt;"",MIN($L148,$M148),$M148),IF($L148&lt;&gt;"",$L148,IF(IFERROR(INDEX('Référentiel'!$D$2:$D$83,MATCH($C148,'Référentiel'!$A$2:$A$83,0)),0)&gt;0,IFERROR(INDEX('Référentiel'!$D$2:$D$83,MATCH($C148,'Référentiel'!$A$2:$A$83,0)),0),""))),IFERROR(INDEX('Référentiel'!$F$2:$F$83,MATCH($C148,'Référentiel'!$A$2:$A$83,0)),0)),IF($M148&lt;&gt;"",IF($L148&lt;&gt;"",MIN($L148,$M148),$M148),IF($L148&lt;&gt;"",$L148,IF(IFERROR(INDEX('Référentiel'!$D$2:$D$83,MATCH($C148,'Référentiel'!$A$2:$A$83,0)),0)&gt;0,IFERROR(INDEX('Référentiel'!$D$2:$D$83,MATCH($C148,'Référentiel'!$A$2:$A$83,0)),0),""))))))</f>
      </c>
      <c r="O148" s="9"/>
      <c r="P148" s="23"/>
      <c r="Q148" s="9"/>
      <c r="R148" s="24"/>
      <c r="S148" s="23"/>
      <c r="T148" s="23"/>
      <c r="U148" s="24"/>
      <c r="V148" s="20">
        <f>IF($C148="","",IFERROR(INDEX('Référentiel'!$K$2:$K$83,MATCH($C148,'Référentiel'!$A$2:$A$83,0)),""))</f>
      </c>
      <c r="W148" s="20">
        <f>IF(AND(ISNUMBER($G148),$I148&lt;&gt;"Hors service",$I148&lt;&gt;"Location terminée"),$G148+ROW()/100000,"")</f>
      </c>
      <c r="X148" s="9"/>
    </row>
    <row r="149" spans="1:24" x14ac:dyDescent="0.25">
      <c r="A149" s="9"/>
      <c r="B149" s="9"/>
      <c r="C149" s="9"/>
      <c r="D149" s="9"/>
      <c r="E149" s="19">
        <f>IF($A149="","",IF(SUMPRODUCT(MAX((Vérifications!$B$2:$B$1001=$A149)*Vérifications!$L$2:$L$1001))=0,"",SUMPRODUCT(MAX((Vérifications!$B$2:$B$1001=$A149)*Vérifications!$L$2:$L$1001))))</f>
      </c>
      <c r="F149" s="20">
        <f>IF($E149="","",IFERROR(INDEX(Vérifications!$E$2:$E$1001,MATCH($A149&amp;"|"&amp;$E149,Vérifications!$M$2:$M$1001,0)),""))</f>
      </c>
      <c r="G149" s="19">
        <f>IF($N149="","",IF(ISNUMBER($E149),EDATE($E149,$N149),IF(AND(ISNUMBER($U149),IFERROR(INDEX('Référentiel'!$E$2:$E$83,MATCH($C149,'Référentiel'!$A$2:$A$83,0)),0)&gt;0),EDATE($U149,IFERROR(INDEX('Référentiel'!$E$2:$E$83,MATCH($C149,'Référentiel'!$A$2:$A$83,0)),0)),"")))</f>
      </c>
      <c r="H149" s="21">
        <f>IF(ISNUMBER($G149),$G149-TODAY(),"")</f>
      </c>
      <c r="I149" s="20">
        <f>IF(AND($A149="",$C149=""),"",IF($T149="Non","Hors service",IF(AND($Q149="Location",ISNUMBER($R149),$R149&lt;TODAY()),"Location terminée",IF(OR($F149="Mise à l'arrêt",IF($A149="",0,SUMPRODUCT((Réserves!$B$2:$B$301=$A149)*(Réserves!$E$2:$E$301="Mise à l'arrêt")*(Réserves!$J$2:$J$301&lt;&gt;"Levée")*(Réserves!$J$2:$J$301&lt;&gt;"")))&gt;0),"Arrêt : réserve à lever",IF($C149="","Type à choisir",IF($N149="","Périodicité à saisir",IF(OR(ISTEXT($U149),ISTEXT($R149)),"Date à corriger",IF(AND($E149="",$Q149="Location",$S149&lt;&gt;"Oui"),"Rapport loueur à obtenir",IF(NOT(ISNUMBER($G149)),"Vérif. initiale à tracer",IF($H149&lt;0,"En retard",IF(AND($Q149="Location",$S149&lt;&gt;"Oui"),"Rapport loueur à obtenir",IF($H149&lt;='Tableau de bord'!$C$4,"À planifier","À jour"))))))))))))</f>
      </c>
      <c r="J149" s="22">
        <f>IF($A149="","",COUNTIFS(Réserves!$B$2:$B$301,$A149,Réserves!$J$2:$J$301,"Ouverte")+COUNTIFS(Réserves!$B$2:$B$301,$A149,Réserves!$J$2:$J$301,"En retard"))</f>
      </c>
      <c r="K149" s="20">
        <f>IF($C149="","",IFERROR(INDEX('Référentiel'!$B$2:$B$83,MATCH($C149,'Référentiel'!$A$2:$A$83,0)),"Type hors liste"))</f>
      </c>
      <c r="L149" s="22">
        <f>IF($C149="","",IF(IFERROR(INDEX('Référentiel'!$C$2:$C$83,MATCH($C149,'Référentiel'!$A$2:$A$83,0)),0)=0,"",IFERROR(INDEX('Référentiel'!$C$2:$C$83,MATCH($C149,'Référentiel'!$A$2:$A$83,0)),0)))</f>
      </c>
      <c r="M149" s="23"/>
      <c r="N149" s="22">
        <f>IF($C149="","",IF(IF($M149&lt;&gt;"",IF($L149&lt;&gt;"",MIN($L149,$M149),$M149),IF($L149&lt;&gt;"",$L149,IF(IFERROR(INDEX('Référentiel'!$D$2:$D$83,MATCH($C149,'Référentiel'!$A$2:$A$83,0)),0)&gt;0,IFERROR(INDEX('Référentiel'!$D$2:$D$83,MATCH($C149,'Référentiel'!$A$2:$A$83,0)),0),"")))="","",IF(AND(IFERROR(INDEX('Référentiel'!$F$2:$F$83,MATCH($C149,'Référentiel'!$A$2:$A$83,0)),0)&gt;0,N($J149)&gt;0),MIN(IF($M149&lt;&gt;"",IF($L149&lt;&gt;"",MIN($L149,$M149),$M149),IF($L149&lt;&gt;"",$L149,IF(IFERROR(INDEX('Référentiel'!$D$2:$D$83,MATCH($C149,'Référentiel'!$A$2:$A$83,0)),0)&gt;0,IFERROR(INDEX('Référentiel'!$D$2:$D$83,MATCH($C149,'Référentiel'!$A$2:$A$83,0)),0),""))),IFERROR(INDEX('Référentiel'!$F$2:$F$83,MATCH($C149,'Référentiel'!$A$2:$A$83,0)),0)),IF($M149&lt;&gt;"",IF($L149&lt;&gt;"",MIN($L149,$M149),$M149),IF($L149&lt;&gt;"",$L149,IF(IFERROR(INDEX('Référentiel'!$D$2:$D$83,MATCH($C149,'Référentiel'!$A$2:$A$83,0)),0)&gt;0,IFERROR(INDEX('Référentiel'!$D$2:$D$83,MATCH($C149,'Référentiel'!$A$2:$A$83,0)),0),""))))))</f>
      </c>
      <c r="O149" s="9"/>
      <c r="P149" s="23"/>
      <c r="Q149" s="9"/>
      <c r="R149" s="24"/>
      <c r="S149" s="23"/>
      <c r="T149" s="23"/>
      <c r="U149" s="24"/>
      <c r="V149" s="20">
        <f>IF($C149="","",IFERROR(INDEX('Référentiel'!$K$2:$K$83,MATCH($C149,'Référentiel'!$A$2:$A$83,0)),""))</f>
      </c>
      <c r="W149" s="20">
        <f>IF(AND(ISNUMBER($G149),$I149&lt;&gt;"Hors service",$I149&lt;&gt;"Location terminée"),$G149+ROW()/100000,"")</f>
      </c>
      <c r="X149" s="9"/>
    </row>
    <row r="150" spans="1:24" x14ac:dyDescent="0.25">
      <c r="A150" s="9"/>
      <c r="B150" s="9"/>
      <c r="C150" s="9"/>
      <c r="D150" s="9"/>
      <c r="E150" s="19">
        <f>IF($A150="","",IF(SUMPRODUCT(MAX((Vérifications!$B$2:$B$1001=$A150)*Vérifications!$L$2:$L$1001))=0,"",SUMPRODUCT(MAX((Vérifications!$B$2:$B$1001=$A150)*Vérifications!$L$2:$L$1001))))</f>
      </c>
      <c r="F150" s="20">
        <f>IF($E150="","",IFERROR(INDEX(Vérifications!$E$2:$E$1001,MATCH($A150&amp;"|"&amp;$E150,Vérifications!$M$2:$M$1001,0)),""))</f>
      </c>
      <c r="G150" s="19">
        <f>IF($N150="","",IF(ISNUMBER($E150),EDATE($E150,$N150),IF(AND(ISNUMBER($U150),IFERROR(INDEX('Référentiel'!$E$2:$E$83,MATCH($C150,'Référentiel'!$A$2:$A$83,0)),0)&gt;0),EDATE($U150,IFERROR(INDEX('Référentiel'!$E$2:$E$83,MATCH($C150,'Référentiel'!$A$2:$A$83,0)),0)),"")))</f>
      </c>
      <c r="H150" s="21">
        <f>IF(ISNUMBER($G150),$G150-TODAY(),"")</f>
      </c>
      <c r="I150" s="20">
        <f>IF(AND($A150="",$C150=""),"",IF($T150="Non","Hors service",IF(AND($Q150="Location",ISNUMBER($R150),$R150&lt;TODAY()),"Location terminée",IF(OR($F150="Mise à l'arrêt",IF($A150="",0,SUMPRODUCT((Réserves!$B$2:$B$301=$A150)*(Réserves!$E$2:$E$301="Mise à l'arrêt")*(Réserves!$J$2:$J$301&lt;&gt;"Levée")*(Réserves!$J$2:$J$301&lt;&gt;"")))&gt;0),"Arrêt : réserve à lever",IF($C150="","Type à choisir",IF($N150="","Périodicité à saisir",IF(OR(ISTEXT($U150),ISTEXT($R150)),"Date à corriger",IF(AND($E150="",$Q150="Location",$S150&lt;&gt;"Oui"),"Rapport loueur à obtenir",IF(NOT(ISNUMBER($G150)),"Vérif. initiale à tracer",IF($H150&lt;0,"En retard",IF(AND($Q150="Location",$S150&lt;&gt;"Oui"),"Rapport loueur à obtenir",IF($H150&lt;='Tableau de bord'!$C$4,"À planifier","À jour"))))))))))))</f>
      </c>
      <c r="J150" s="22">
        <f>IF($A150="","",COUNTIFS(Réserves!$B$2:$B$301,$A150,Réserves!$J$2:$J$301,"Ouverte")+COUNTIFS(Réserves!$B$2:$B$301,$A150,Réserves!$J$2:$J$301,"En retard"))</f>
      </c>
      <c r="K150" s="20">
        <f>IF($C150="","",IFERROR(INDEX('Référentiel'!$B$2:$B$83,MATCH($C150,'Référentiel'!$A$2:$A$83,0)),"Type hors liste"))</f>
      </c>
      <c r="L150" s="22">
        <f>IF($C150="","",IF(IFERROR(INDEX('Référentiel'!$C$2:$C$83,MATCH($C150,'Référentiel'!$A$2:$A$83,0)),0)=0,"",IFERROR(INDEX('Référentiel'!$C$2:$C$83,MATCH($C150,'Référentiel'!$A$2:$A$83,0)),0)))</f>
      </c>
      <c r="M150" s="23"/>
      <c r="N150" s="22">
        <f>IF($C150="","",IF(IF($M150&lt;&gt;"",IF($L150&lt;&gt;"",MIN($L150,$M150),$M150),IF($L150&lt;&gt;"",$L150,IF(IFERROR(INDEX('Référentiel'!$D$2:$D$83,MATCH($C150,'Référentiel'!$A$2:$A$83,0)),0)&gt;0,IFERROR(INDEX('Référentiel'!$D$2:$D$83,MATCH($C150,'Référentiel'!$A$2:$A$83,0)),0),"")))="","",IF(AND(IFERROR(INDEX('Référentiel'!$F$2:$F$83,MATCH($C150,'Référentiel'!$A$2:$A$83,0)),0)&gt;0,N($J150)&gt;0),MIN(IF($M150&lt;&gt;"",IF($L150&lt;&gt;"",MIN($L150,$M150),$M150),IF($L150&lt;&gt;"",$L150,IF(IFERROR(INDEX('Référentiel'!$D$2:$D$83,MATCH($C150,'Référentiel'!$A$2:$A$83,0)),0)&gt;0,IFERROR(INDEX('Référentiel'!$D$2:$D$83,MATCH($C150,'Référentiel'!$A$2:$A$83,0)),0),""))),IFERROR(INDEX('Référentiel'!$F$2:$F$83,MATCH($C150,'Référentiel'!$A$2:$A$83,0)),0)),IF($M150&lt;&gt;"",IF($L150&lt;&gt;"",MIN($L150,$M150),$M150),IF($L150&lt;&gt;"",$L150,IF(IFERROR(INDEX('Référentiel'!$D$2:$D$83,MATCH($C150,'Référentiel'!$A$2:$A$83,0)),0)&gt;0,IFERROR(INDEX('Référentiel'!$D$2:$D$83,MATCH($C150,'Référentiel'!$A$2:$A$83,0)),0),""))))))</f>
      </c>
      <c r="O150" s="9"/>
      <c r="P150" s="23"/>
      <c r="Q150" s="9"/>
      <c r="R150" s="24"/>
      <c r="S150" s="23"/>
      <c r="T150" s="23"/>
      <c r="U150" s="24"/>
      <c r="V150" s="20">
        <f>IF($C150="","",IFERROR(INDEX('Référentiel'!$K$2:$K$83,MATCH($C150,'Référentiel'!$A$2:$A$83,0)),""))</f>
      </c>
      <c r="W150" s="20">
        <f>IF(AND(ISNUMBER($G150),$I150&lt;&gt;"Hors service",$I150&lt;&gt;"Location terminée"),$G150+ROW()/100000,"")</f>
      </c>
      <c r="X150" s="9"/>
    </row>
    <row r="151" spans="1:24" x14ac:dyDescent="0.25">
      <c r="A151" s="9"/>
      <c r="B151" s="9"/>
      <c r="C151" s="9"/>
      <c r="D151" s="9"/>
      <c r="E151" s="19">
        <f>IF($A151="","",IF(SUMPRODUCT(MAX((Vérifications!$B$2:$B$1001=$A151)*Vérifications!$L$2:$L$1001))=0,"",SUMPRODUCT(MAX((Vérifications!$B$2:$B$1001=$A151)*Vérifications!$L$2:$L$1001))))</f>
      </c>
      <c r="F151" s="20">
        <f>IF($E151="","",IFERROR(INDEX(Vérifications!$E$2:$E$1001,MATCH($A151&amp;"|"&amp;$E151,Vérifications!$M$2:$M$1001,0)),""))</f>
      </c>
      <c r="G151" s="19">
        <f>IF($N151="","",IF(ISNUMBER($E151),EDATE($E151,$N151),IF(AND(ISNUMBER($U151),IFERROR(INDEX('Référentiel'!$E$2:$E$83,MATCH($C151,'Référentiel'!$A$2:$A$83,0)),0)&gt;0),EDATE($U151,IFERROR(INDEX('Référentiel'!$E$2:$E$83,MATCH($C151,'Référentiel'!$A$2:$A$83,0)),0)),"")))</f>
      </c>
      <c r="H151" s="21">
        <f>IF(ISNUMBER($G151),$G151-TODAY(),"")</f>
      </c>
      <c r="I151" s="20">
        <f>IF(AND($A151="",$C151=""),"",IF($T151="Non","Hors service",IF(AND($Q151="Location",ISNUMBER($R151),$R151&lt;TODAY()),"Location terminée",IF(OR($F151="Mise à l'arrêt",IF($A151="",0,SUMPRODUCT((Réserves!$B$2:$B$301=$A151)*(Réserves!$E$2:$E$301="Mise à l'arrêt")*(Réserves!$J$2:$J$301&lt;&gt;"Levée")*(Réserves!$J$2:$J$301&lt;&gt;"")))&gt;0),"Arrêt : réserve à lever",IF($C151="","Type à choisir",IF($N151="","Périodicité à saisir",IF(OR(ISTEXT($U151),ISTEXT($R151)),"Date à corriger",IF(AND($E151="",$Q151="Location",$S151&lt;&gt;"Oui"),"Rapport loueur à obtenir",IF(NOT(ISNUMBER($G151)),"Vérif. initiale à tracer",IF($H151&lt;0,"En retard",IF(AND($Q151="Location",$S151&lt;&gt;"Oui"),"Rapport loueur à obtenir",IF($H151&lt;='Tableau de bord'!$C$4,"À planifier","À jour"))))))))))))</f>
      </c>
      <c r="J151" s="22">
        <f>IF($A151="","",COUNTIFS(Réserves!$B$2:$B$301,$A151,Réserves!$J$2:$J$301,"Ouverte")+COUNTIFS(Réserves!$B$2:$B$301,$A151,Réserves!$J$2:$J$301,"En retard"))</f>
      </c>
      <c r="K151" s="20">
        <f>IF($C151="","",IFERROR(INDEX('Référentiel'!$B$2:$B$83,MATCH($C151,'Référentiel'!$A$2:$A$83,0)),"Type hors liste"))</f>
      </c>
      <c r="L151" s="22">
        <f>IF($C151="","",IF(IFERROR(INDEX('Référentiel'!$C$2:$C$83,MATCH($C151,'Référentiel'!$A$2:$A$83,0)),0)=0,"",IFERROR(INDEX('Référentiel'!$C$2:$C$83,MATCH($C151,'Référentiel'!$A$2:$A$83,0)),0)))</f>
      </c>
      <c r="M151" s="23"/>
      <c r="N151" s="22">
        <f>IF($C151="","",IF(IF($M151&lt;&gt;"",IF($L151&lt;&gt;"",MIN($L151,$M151),$M151),IF($L151&lt;&gt;"",$L151,IF(IFERROR(INDEX('Référentiel'!$D$2:$D$83,MATCH($C151,'Référentiel'!$A$2:$A$83,0)),0)&gt;0,IFERROR(INDEX('Référentiel'!$D$2:$D$83,MATCH($C151,'Référentiel'!$A$2:$A$83,0)),0),"")))="","",IF(AND(IFERROR(INDEX('Référentiel'!$F$2:$F$83,MATCH($C151,'Référentiel'!$A$2:$A$83,0)),0)&gt;0,N($J151)&gt;0),MIN(IF($M151&lt;&gt;"",IF($L151&lt;&gt;"",MIN($L151,$M151),$M151),IF($L151&lt;&gt;"",$L151,IF(IFERROR(INDEX('Référentiel'!$D$2:$D$83,MATCH($C151,'Référentiel'!$A$2:$A$83,0)),0)&gt;0,IFERROR(INDEX('Référentiel'!$D$2:$D$83,MATCH($C151,'Référentiel'!$A$2:$A$83,0)),0),""))),IFERROR(INDEX('Référentiel'!$F$2:$F$83,MATCH($C151,'Référentiel'!$A$2:$A$83,0)),0)),IF($M151&lt;&gt;"",IF($L151&lt;&gt;"",MIN($L151,$M151),$M151),IF($L151&lt;&gt;"",$L151,IF(IFERROR(INDEX('Référentiel'!$D$2:$D$83,MATCH($C151,'Référentiel'!$A$2:$A$83,0)),0)&gt;0,IFERROR(INDEX('Référentiel'!$D$2:$D$83,MATCH($C151,'Référentiel'!$A$2:$A$83,0)),0),""))))))</f>
      </c>
      <c r="O151" s="9"/>
      <c r="P151" s="23"/>
      <c r="Q151" s="9"/>
      <c r="R151" s="24"/>
      <c r="S151" s="23"/>
      <c r="T151" s="23"/>
      <c r="U151" s="24"/>
      <c r="V151" s="20">
        <f>IF($C151="","",IFERROR(INDEX('Référentiel'!$K$2:$K$83,MATCH($C151,'Référentiel'!$A$2:$A$83,0)),""))</f>
      </c>
      <c r="W151" s="20">
        <f>IF(AND(ISNUMBER($G151),$I151&lt;&gt;"Hors service",$I151&lt;&gt;"Location terminée"),$G151+ROW()/100000,"")</f>
      </c>
      <c r="X151" s="9"/>
    </row>
    <row r="152" spans="1:24" x14ac:dyDescent="0.25">
      <c r="A152" s="9"/>
      <c r="B152" s="9"/>
      <c r="C152" s="9"/>
      <c r="D152" s="9"/>
      <c r="E152" s="19">
        <f>IF($A152="","",IF(SUMPRODUCT(MAX((Vérifications!$B$2:$B$1001=$A152)*Vérifications!$L$2:$L$1001))=0,"",SUMPRODUCT(MAX((Vérifications!$B$2:$B$1001=$A152)*Vérifications!$L$2:$L$1001))))</f>
      </c>
      <c r="F152" s="20">
        <f>IF($E152="","",IFERROR(INDEX(Vérifications!$E$2:$E$1001,MATCH($A152&amp;"|"&amp;$E152,Vérifications!$M$2:$M$1001,0)),""))</f>
      </c>
      <c r="G152" s="19">
        <f>IF($N152="","",IF(ISNUMBER($E152),EDATE($E152,$N152),IF(AND(ISNUMBER($U152),IFERROR(INDEX('Référentiel'!$E$2:$E$83,MATCH($C152,'Référentiel'!$A$2:$A$83,0)),0)&gt;0),EDATE($U152,IFERROR(INDEX('Référentiel'!$E$2:$E$83,MATCH($C152,'Référentiel'!$A$2:$A$83,0)),0)),"")))</f>
      </c>
      <c r="H152" s="21">
        <f>IF(ISNUMBER($G152),$G152-TODAY(),"")</f>
      </c>
      <c r="I152" s="20">
        <f>IF(AND($A152="",$C152=""),"",IF($T152="Non","Hors service",IF(AND($Q152="Location",ISNUMBER($R152),$R152&lt;TODAY()),"Location terminée",IF(OR($F152="Mise à l'arrêt",IF($A152="",0,SUMPRODUCT((Réserves!$B$2:$B$301=$A152)*(Réserves!$E$2:$E$301="Mise à l'arrêt")*(Réserves!$J$2:$J$301&lt;&gt;"Levée")*(Réserves!$J$2:$J$301&lt;&gt;"")))&gt;0),"Arrêt : réserve à lever",IF($C152="","Type à choisir",IF($N152="","Périodicité à saisir",IF(OR(ISTEXT($U152),ISTEXT($R152)),"Date à corriger",IF(AND($E152="",$Q152="Location",$S152&lt;&gt;"Oui"),"Rapport loueur à obtenir",IF(NOT(ISNUMBER($G152)),"Vérif. initiale à tracer",IF($H152&lt;0,"En retard",IF(AND($Q152="Location",$S152&lt;&gt;"Oui"),"Rapport loueur à obtenir",IF($H152&lt;='Tableau de bord'!$C$4,"À planifier","À jour"))))))))))))</f>
      </c>
      <c r="J152" s="22">
        <f>IF($A152="","",COUNTIFS(Réserves!$B$2:$B$301,$A152,Réserves!$J$2:$J$301,"Ouverte")+COUNTIFS(Réserves!$B$2:$B$301,$A152,Réserves!$J$2:$J$301,"En retard"))</f>
      </c>
      <c r="K152" s="20">
        <f>IF($C152="","",IFERROR(INDEX('Référentiel'!$B$2:$B$83,MATCH($C152,'Référentiel'!$A$2:$A$83,0)),"Type hors liste"))</f>
      </c>
      <c r="L152" s="22">
        <f>IF($C152="","",IF(IFERROR(INDEX('Référentiel'!$C$2:$C$83,MATCH($C152,'Référentiel'!$A$2:$A$83,0)),0)=0,"",IFERROR(INDEX('Référentiel'!$C$2:$C$83,MATCH($C152,'Référentiel'!$A$2:$A$83,0)),0)))</f>
      </c>
      <c r="M152" s="23"/>
      <c r="N152" s="22">
        <f>IF($C152="","",IF(IF($M152&lt;&gt;"",IF($L152&lt;&gt;"",MIN($L152,$M152),$M152),IF($L152&lt;&gt;"",$L152,IF(IFERROR(INDEX('Référentiel'!$D$2:$D$83,MATCH($C152,'Référentiel'!$A$2:$A$83,0)),0)&gt;0,IFERROR(INDEX('Référentiel'!$D$2:$D$83,MATCH($C152,'Référentiel'!$A$2:$A$83,0)),0),"")))="","",IF(AND(IFERROR(INDEX('Référentiel'!$F$2:$F$83,MATCH($C152,'Référentiel'!$A$2:$A$83,0)),0)&gt;0,N($J152)&gt;0),MIN(IF($M152&lt;&gt;"",IF($L152&lt;&gt;"",MIN($L152,$M152),$M152),IF($L152&lt;&gt;"",$L152,IF(IFERROR(INDEX('Référentiel'!$D$2:$D$83,MATCH($C152,'Référentiel'!$A$2:$A$83,0)),0)&gt;0,IFERROR(INDEX('Référentiel'!$D$2:$D$83,MATCH($C152,'Référentiel'!$A$2:$A$83,0)),0),""))),IFERROR(INDEX('Référentiel'!$F$2:$F$83,MATCH($C152,'Référentiel'!$A$2:$A$83,0)),0)),IF($M152&lt;&gt;"",IF($L152&lt;&gt;"",MIN($L152,$M152),$M152),IF($L152&lt;&gt;"",$L152,IF(IFERROR(INDEX('Référentiel'!$D$2:$D$83,MATCH($C152,'Référentiel'!$A$2:$A$83,0)),0)&gt;0,IFERROR(INDEX('Référentiel'!$D$2:$D$83,MATCH($C152,'Référentiel'!$A$2:$A$83,0)),0),""))))))</f>
      </c>
      <c r="O152" s="9"/>
      <c r="P152" s="23"/>
      <c r="Q152" s="9"/>
      <c r="R152" s="24"/>
      <c r="S152" s="23"/>
      <c r="T152" s="23"/>
      <c r="U152" s="24"/>
      <c r="V152" s="20">
        <f>IF($C152="","",IFERROR(INDEX('Référentiel'!$K$2:$K$83,MATCH($C152,'Référentiel'!$A$2:$A$83,0)),""))</f>
      </c>
      <c r="W152" s="20">
        <f>IF(AND(ISNUMBER($G152),$I152&lt;&gt;"Hors service",$I152&lt;&gt;"Location terminée"),$G152+ROW()/100000,"")</f>
      </c>
      <c r="X152" s="9"/>
    </row>
    <row r="153" spans="1:24" x14ac:dyDescent="0.25">
      <c r="A153" s="9"/>
      <c r="B153" s="9"/>
      <c r="C153" s="9"/>
      <c r="D153" s="9"/>
      <c r="E153" s="19">
        <f>IF($A153="","",IF(SUMPRODUCT(MAX((Vérifications!$B$2:$B$1001=$A153)*Vérifications!$L$2:$L$1001))=0,"",SUMPRODUCT(MAX((Vérifications!$B$2:$B$1001=$A153)*Vérifications!$L$2:$L$1001))))</f>
      </c>
      <c r="F153" s="20">
        <f>IF($E153="","",IFERROR(INDEX(Vérifications!$E$2:$E$1001,MATCH($A153&amp;"|"&amp;$E153,Vérifications!$M$2:$M$1001,0)),""))</f>
      </c>
      <c r="G153" s="19">
        <f>IF($N153="","",IF(ISNUMBER($E153),EDATE($E153,$N153),IF(AND(ISNUMBER($U153),IFERROR(INDEX('Référentiel'!$E$2:$E$83,MATCH($C153,'Référentiel'!$A$2:$A$83,0)),0)&gt;0),EDATE($U153,IFERROR(INDEX('Référentiel'!$E$2:$E$83,MATCH($C153,'Référentiel'!$A$2:$A$83,0)),0)),"")))</f>
      </c>
      <c r="H153" s="21">
        <f>IF(ISNUMBER($G153),$G153-TODAY(),"")</f>
      </c>
      <c r="I153" s="20">
        <f>IF(AND($A153="",$C153=""),"",IF($T153="Non","Hors service",IF(AND($Q153="Location",ISNUMBER($R153),$R153&lt;TODAY()),"Location terminée",IF(OR($F153="Mise à l'arrêt",IF($A153="",0,SUMPRODUCT((Réserves!$B$2:$B$301=$A153)*(Réserves!$E$2:$E$301="Mise à l'arrêt")*(Réserves!$J$2:$J$301&lt;&gt;"Levée")*(Réserves!$J$2:$J$301&lt;&gt;"")))&gt;0),"Arrêt : réserve à lever",IF($C153="","Type à choisir",IF($N153="","Périodicité à saisir",IF(OR(ISTEXT($U153),ISTEXT($R153)),"Date à corriger",IF(AND($E153="",$Q153="Location",$S153&lt;&gt;"Oui"),"Rapport loueur à obtenir",IF(NOT(ISNUMBER($G153)),"Vérif. initiale à tracer",IF($H153&lt;0,"En retard",IF(AND($Q153="Location",$S153&lt;&gt;"Oui"),"Rapport loueur à obtenir",IF($H153&lt;='Tableau de bord'!$C$4,"À planifier","À jour"))))))))))))</f>
      </c>
      <c r="J153" s="22">
        <f>IF($A153="","",COUNTIFS(Réserves!$B$2:$B$301,$A153,Réserves!$J$2:$J$301,"Ouverte")+COUNTIFS(Réserves!$B$2:$B$301,$A153,Réserves!$J$2:$J$301,"En retard"))</f>
      </c>
      <c r="K153" s="20">
        <f>IF($C153="","",IFERROR(INDEX('Référentiel'!$B$2:$B$83,MATCH($C153,'Référentiel'!$A$2:$A$83,0)),"Type hors liste"))</f>
      </c>
      <c r="L153" s="22">
        <f>IF($C153="","",IF(IFERROR(INDEX('Référentiel'!$C$2:$C$83,MATCH($C153,'Référentiel'!$A$2:$A$83,0)),0)=0,"",IFERROR(INDEX('Référentiel'!$C$2:$C$83,MATCH($C153,'Référentiel'!$A$2:$A$83,0)),0)))</f>
      </c>
      <c r="M153" s="23"/>
      <c r="N153" s="22">
        <f>IF($C153="","",IF(IF($M153&lt;&gt;"",IF($L153&lt;&gt;"",MIN($L153,$M153),$M153),IF($L153&lt;&gt;"",$L153,IF(IFERROR(INDEX('Référentiel'!$D$2:$D$83,MATCH($C153,'Référentiel'!$A$2:$A$83,0)),0)&gt;0,IFERROR(INDEX('Référentiel'!$D$2:$D$83,MATCH($C153,'Référentiel'!$A$2:$A$83,0)),0),"")))="","",IF(AND(IFERROR(INDEX('Référentiel'!$F$2:$F$83,MATCH($C153,'Référentiel'!$A$2:$A$83,0)),0)&gt;0,N($J153)&gt;0),MIN(IF($M153&lt;&gt;"",IF($L153&lt;&gt;"",MIN($L153,$M153),$M153),IF($L153&lt;&gt;"",$L153,IF(IFERROR(INDEX('Référentiel'!$D$2:$D$83,MATCH($C153,'Référentiel'!$A$2:$A$83,0)),0)&gt;0,IFERROR(INDEX('Référentiel'!$D$2:$D$83,MATCH($C153,'Référentiel'!$A$2:$A$83,0)),0),""))),IFERROR(INDEX('Référentiel'!$F$2:$F$83,MATCH($C153,'Référentiel'!$A$2:$A$83,0)),0)),IF($M153&lt;&gt;"",IF($L153&lt;&gt;"",MIN($L153,$M153),$M153),IF($L153&lt;&gt;"",$L153,IF(IFERROR(INDEX('Référentiel'!$D$2:$D$83,MATCH($C153,'Référentiel'!$A$2:$A$83,0)),0)&gt;0,IFERROR(INDEX('Référentiel'!$D$2:$D$83,MATCH($C153,'Référentiel'!$A$2:$A$83,0)),0),""))))))</f>
      </c>
      <c r="O153" s="9"/>
      <c r="P153" s="23"/>
      <c r="Q153" s="9"/>
      <c r="R153" s="24"/>
      <c r="S153" s="23"/>
      <c r="T153" s="23"/>
      <c r="U153" s="24"/>
      <c r="V153" s="20">
        <f>IF($C153="","",IFERROR(INDEX('Référentiel'!$K$2:$K$83,MATCH($C153,'Référentiel'!$A$2:$A$83,0)),""))</f>
      </c>
      <c r="W153" s="20">
        <f>IF(AND(ISNUMBER($G153),$I153&lt;&gt;"Hors service",$I153&lt;&gt;"Location terminée"),$G153+ROW()/100000,"")</f>
      </c>
      <c r="X153" s="9"/>
    </row>
    <row r="154" spans="1:24" x14ac:dyDescent="0.25">
      <c r="A154" s="9"/>
      <c r="B154" s="9"/>
      <c r="C154" s="9"/>
      <c r="D154" s="9"/>
      <c r="E154" s="19">
        <f>IF($A154="","",IF(SUMPRODUCT(MAX((Vérifications!$B$2:$B$1001=$A154)*Vérifications!$L$2:$L$1001))=0,"",SUMPRODUCT(MAX((Vérifications!$B$2:$B$1001=$A154)*Vérifications!$L$2:$L$1001))))</f>
      </c>
      <c r="F154" s="20">
        <f>IF($E154="","",IFERROR(INDEX(Vérifications!$E$2:$E$1001,MATCH($A154&amp;"|"&amp;$E154,Vérifications!$M$2:$M$1001,0)),""))</f>
      </c>
      <c r="G154" s="19">
        <f>IF($N154="","",IF(ISNUMBER($E154),EDATE($E154,$N154),IF(AND(ISNUMBER($U154),IFERROR(INDEX('Référentiel'!$E$2:$E$83,MATCH($C154,'Référentiel'!$A$2:$A$83,0)),0)&gt;0),EDATE($U154,IFERROR(INDEX('Référentiel'!$E$2:$E$83,MATCH($C154,'Référentiel'!$A$2:$A$83,0)),0)),"")))</f>
      </c>
      <c r="H154" s="21">
        <f>IF(ISNUMBER($G154),$G154-TODAY(),"")</f>
      </c>
      <c r="I154" s="20">
        <f>IF(AND($A154="",$C154=""),"",IF($T154="Non","Hors service",IF(AND($Q154="Location",ISNUMBER($R154),$R154&lt;TODAY()),"Location terminée",IF(OR($F154="Mise à l'arrêt",IF($A154="",0,SUMPRODUCT((Réserves!$B$2:$B$301=$A154)*(Réserves!$E$2:$E$301="Mise à l'arrêt")*(Réserves!$J$2:$J$301&lt;&gt;"Levée")*(Réserves!$J$2:$J$301&lt;&gt;"")))&gt;0),"Arrêt : réserve à lever",IF($C154="","Type à choisir",IF($N154="","Périodicité à saisir",IF(OR(ISTEXT($U154),ISTEXT($R154)),"Date à corriger",IF(AND($E154="",$Q154="Location",$S154&lt;&gt;"Oui"),"Rapport loueur à obtenir",IF(NOT(ISNUMBER($G154)),"Vérif. initiale à tracer",IF($H154&lt;0,"En retard",IF(AND($Q154="Location",$S154&lt;&gt;"Oui"),"Rapport loueur à obtenir",IF($H154&lt;='Tableau de bord'!$C$4,"À planifier","À jour"))))))))))))</f>
      </c>
      <c r="J154" s="22">
        <f>IF($A154="","",COUNTIFS(Réserves!$B$2:$B$301,$A154,Réserves!$J$2:$J$301,"Ouverte")+COUNTIFS(Réserves!$B$2:$B$301,$A154,Réserves!$J$2:$J$301,"En retard"))</f>
      </c>
      <c r="K154" s="20">
        <f>IF($C154="","",IFERROR(INDEX('Référentiel'!$B$2:$B$83,MATCH($C154,'Référentiel'!$A$2:$A$83,0)),"Type hors liste"))</f>
      </c>
      <c r="L154" s="22">
        <f>IF($C154="","",IF(IFERROR(INDEX('Référentiel'!$C$2:$C$83,MATCH($C154,'Référentiel'!$A$2:$A$83,0)),0)=0,"",IFERROR(INDEX('Référentiel'!$C$2:$C$83,MATCH($C154,'Référentiel'!$A$2:$A$83,0)),0)))</f>
      </c>
      <c r="M154" s="23"/>
      <c r="N154" s="22">
        <f>IF($C154="","",IF(IF($M154&lt;&gt;"",IF($L154&lt;&gt;"",MIN($L154,$M154),$M154),IF($L154&lt;&gt;"",$L154,IF(IFERROR(INDEX('Référentiel'!$D$2:$D$83,MATCH($C154,'Référentiel'!$A$2:$A$83,0)),0)&gt;0,IFERROR(INDEX('Référentiel'!$D$2:$D$83,MATCH($C154,'Référentiel'!$A$2:$A$83,0)),0),"")))="","",IF(AND(IFERROR(INDEX('Référentiel'!$F$2:$F$83,MATCH($C154,'Référentiel'!$A$2:$A$83,0)),0)&gt;0,N($J154)&gt;0),MIN(IF($M154&lt;&gt;"",IF($L154&lt;&gt;"",MIN($L154,$M154),$M154),IF($L154&lt;&gt;"",$L154,IF(IFERROR(INDEX('Référentiel'!$D$2:$D$83,MATCH($C154,'Référentiel'!$A$2:$A$83,0)),0)&gt;0,IFERROR(INDEX('Référentiel'!$D$2:$D$83,MATCH($C154,'Référentiel'!$A$2:$A$83,0)),0),""))),IFERROR(INDEX('Référentiel'!$F$2:$F$83,MATCH($C154,'Référentiel'!$A$2:$A$83,0)),0)),IF($M154&lt;&gt;"",IF($L154&lt;&gt;"",MIN($L154,$M154),$M154),IF($L154&lt;&gt;"",$L154,IF(IFERROR(INDEX('Référentiel'!$D$2:$D$83,MATCH($C154,'Référentiel'!$A$2:$A$83,0)),0)&gt;0,IFERROR(INDEX('Référentiel'!$D$2:$D$83,MATCH($C154,'Référentiel'!$A$2:$A$83,0)),0),""))))))</f>
      </c>
      <c r="O154" s="9"/>
      <c r="P154" s="23"/>
      <c r="Q154" s="9"/>
      <c r="R154" s="24"/>
      <c r="S154" s="23"/>
      <c r="T154" s="23"/>
      <c r="U154" s="24"/>
      <c r="V154" s="20">
        <f>IF($C154="","",IFERROR(INDEX('Référentiel'!$K$2:$K$83,MATCH($C154,'Référentiel'!$A$2:$A$83,0)),""))</f>
      </c>
      <c r="W154" s="20">
        <f>IF(AND(ISNUMBER($G154),$I154&lt;&gt;"Hors service",$I154&lt;&gt;"Location terminée"),$G154+ROW()/100000,"")</f>
      </c>
      <c r="X154" s="9"/>
    </row>
    <row r="155" spans="1:24" x14ac:dyDescent="0.25">
      <c r="A155" s="9"/>
      <c r="B155" s="9"/>
      <c r="C155" s="9"/>
      <c r="D155" s="9"/>
      <c r="E155" s="19">
        <f>IF($A155="","",IF(SUMPRODUCT(MAX((Vérifications!$B$2:$B$1001=$A155)*Vérifications!$L$2:$L$1001))=0,"",SUMPRODUCT(MAX((Vérifications!$B$2:$B$1001=$A155)*Vérifications!$L$2:$L$1001))))</f>
      </c>
      <c r="F155" s="20">
        <f>IF($E155="","",IFERROR(INDEX(Vérifications!$E$2:$E$1001,MATCH($A155&amp;"|"&amp;$E155,Vérifications!$M$2:$M$1001,0)),""))</f>
      </c>
      <c r="G155" s="19">
        <f>IF($N155="","",IF(ISNUMBER($E155),EDATE($E155,$N155),IF(AND(ISNUMBER($U155),IFERROR(INDEX('Référentiel'!$E$2:$E$83,MATCH($C155,'Référentiel'!$A$2:$A$83,0)),0)&gt;0),EDATE($U155,IFERROR(INDEX('Référentiel'!$E$2:$E$83,MATCH($C155,'Référentiel'!$A$2:$A$83,0)),0)),"")))</f>
      </c>
      <c r="H155" s="21">
        <f>IF(ISNUMBER($G155),$G155-TODAY(),"")</f>
      </c>
      <c r="I155" s="20">
        <f>IF(AND($A155="",$C155=""),"",IF($T155="Non","Hors service",IF(AND($Q155="Location",ISNUMBER($R155),$R155&lt;TODAY()),"Location terminée",IF(OR($F155="Mise à l'arrêt",IF($A155="",0,SUMPRODUCT((Réserves!$B$2:$B$301=$A155)*(Réserves!$E$2:$E$301="Mise à l'arrêt")*(Réserves!$J$2:$J$301&lt;&gt;"Levée")*(Réserves!$J$2:$J$301&lt;&gt;"")))&gt;0),"Arrêt : réserve à lever",IF($C155="","Type à choisir",IF($N155="","Périodicité à saisir",IF(OR(ISTEXT($U155),ISTEXT($R155)),"Date à corriger",IF(AND($E155="",$Q155="Location",$S155&lt;&gt;"Oui"),"Rapport loueur à obtenir",IF(NOT(ISNUMBER($G155)),"Vérif. initiale à tracer",IF($H155&lt;0,"En retard",IF(AND($Q155="Location",$S155&lt;&gt;"Oui"),"Rapport loueur à obtenir",IF($H155&lt;='Tableau de bord'!$C$4,"À planifier","À jour"))))))))))))</f>
      </c>
      <c r="J155" s="22">
        <f>IF($A155="","",COUNTIFS(Réserves!$B$2:$B$301,$A155,Réserves!$J$2:$J$301,"Ouverte")+COUNTIFS(Réserves!$B$2:$B$301,$A155,Réserves!$J$2:$J$301,"En retard"))</f>
      </c>
      <c r="K155" s="20">
        <f>IF($C155="","",IFERROR(INDEX('Référentiel'!$B$2:$B$83,MATCH($C155,'Référentiel'!$A$2:$A$83,0)),"Type hors liste"))</f>
      </c>
      <c r="L155" s="22">
        <f>IF($C155="","",IF(IFERROR(INDEX('Référentiel'!$C$2:$C$83,MATCH($C155,'Référentiel'!$A$2:$A$83,0)),0)=0,"",IFERROR(INDEX('Référentiel'!$C$2:$C$83,MATCH($C155,'Référentiel'!$A$2:$A$83,0)),0)))</f>
      </c>
      <c r="M155" s="23"/>
      <c r="N155" s="22">
        <f>IF($C155="","",IF(IF($M155&lt;&gt;"",IF($L155&lt;&gt;"",MIN($L155,$M155),$M155),IF($L155&lt;&gt;"",$L155,IF(IFERROR(INDEX('Référentiel'!$D$2:$D$83,MATCH($C155,'Référentiel'!$A$2:$A$83,0)),0)&gt;0,IFERROR(INDEX('Référentiel'!$D$2:$D$83,MATCH($C155,'Référentiel'!$A$2:$A$83,0)),0),"")))="","",IF(AND(IFERROR(INDEX('Référentiel'!$F$2:$F$83,MATCH($C155,'Référentiel'!$A$2:$A$83,0)),0)&gt;0,N($J155)&gt;0),MIN(IF($M155&lt;&gt;"",IF($L155&lt;&gt;"",MIN($L155,$M155),$M155),IF($L155&lt;&gt;"",$L155,IF(IFERROR(INDEX('Référentiel'!$D$2:$D$83,MATCH($C155,'Référentiel'!$A$2:$A$83,0)),0)&gt;0,IFERROR(INDEX('Référentiel'!$D$2:$D$83,MATCH($C155,'Référentiel'!$A$2:$A$83,0)),0),""))),IFERROR(INDEX('Référentiel'!$F$2:$F$83,MATCH($C155,'Référentiel'!$A$2:$A$83,0)),0)),IF($M155&lt;&gt;"",IF($L155&lt;&gt;"",MIN($L155,$M155),$M155),IF($L155&lt;&gt;"",$L155,IF(IFERROR(INDEX('Référentiel'!$D$2:$D$83,MATCH($C155,'Référentiel'!$A$2:$A$83,0)),0)&gt;0,IFERROR(INDEX('Référentiel'!$D$2:$D$83,MATCH($C155,'Référentiel'!$A$2:$A$83,0)),0),""))))))</f>
      </c>
      <c r="O155" s="9"/>
      <c r="P155" s="23"/>
      <c r="Q155" s="9"/>
      <c r="R155" s="24"/>
      <c r="S155" s="23"/>
      <c r="T155" s="23"/>
      <c r="U155" s="24"/>
      <c r="V155" s="20">
        <f>IF($C155="","",IFERROR(INDEX('Référentiel'!$K$2:$K$83,MATCH($C155,'Référentiel'!$A$2:$A$83,0)),""))</f>
      </c>
      <c r="W155" s="20">
        <f>IF(AND(ISNUMBER($G155),$I155&lt;&gt;"Hors service",$I155&lt;&gt;"Location terminée"),$G155+ROW()/100000,"")</f>
      </c>
      <c r="X155" s="9"/>
    </row>
    <row r="156" spans="1:24" x14ac:dyDescent="0.25">
      <c r="A156" s="9"/>
      <c r="B156" s="9"/>
      <c r="C156" s="9"/>
      <c r="D156" s="9"/>
      <c r="E156" s="19">
        <f>IF($A156="","",IF(SUMPRODUCT(MAX((Vérifications!$B$2:$B$1001=$A156)*Vérifications!$L$2:$L$1001))=0,"",SUMPRODUCT(MAX((Vérifications!$B$2:$B$1001=$A156)*Vérifications!$L$2:$L$1001))))</f>
      </c>
      <c r="F156" s="20">
        <f>IF($E156="","",IFERROR(INDEX(Vérifications!$E$2:$E$1001,MATCH($A156&amp;"|"&amp;$E156,Vérifications!$M$2:$M$1001,0)),""))</f>
      </c>
      <c r="G156" s="19">
        <f>IF($N156="","",IF(ISNUMBER($E156),EDATE($E156,$N156),IF(AND(ISNUMBER($U156),IFERROR(INDEX('Référentiel'!$E$2:$E$83,MATCH($C156,'Référentiel'!$A$2:$A$83,0)),0)&gt;0),EDATE($U156,IFERROR(INDEX('Référentiel'!$E$2:$E$83,MATCH($C156,'Référentiel'!$A$2:$A$83,0)),0)),"")))</f>
      </c>
      <c r="H156" s="21">
        <f>IF(ISNUMBER($G156),$G156-TODAY(),"")</f>
      </c>
      <c r="I156" s="20">
        <f>IF(AND($A156="",$C156=""),"",IF($T156="Non","Hors service",IF(AND($Q156="Location",ISNUMBER($R156),$R156&lt;TODAY()),"Location terminée",IF(OR($F156="Mise à l'arrêt",IF($A156="",0,SUMPRODUCT((Réserves!$B$2:$B$301=$A156)*(Réserves!$E$2:$E$301="Mise à l'arrêt")*(Réserves!$J$2:$J$301&lt;&gt;"Levée")*(Réserves!$J$2:$J$301&lt;&gt;"")))&gt;0),"Arrêt : réserve à lever",IF($C156="","Type à choisir",IF($N156="","Périodicité à saisir",IF(OR(ISTEXT($U156),ISTEXT($R156)),"Date à corriger",IF(AND($E156="",$Q156="Location",$S156&lt;&gt;"Oui"),"Rapport loueur à obtenir",IF(NOT(ISNUMBER($G156)),"Vérif. initiale à tracer",IF($H156&lt;0,"En retard",IF(AND($Q156="Location",$S156&lt;&gt;"Oui"),"Rapport loueur à obtenir",IF($H156&lt;='Tableau de bord'!$C$4,"À planifier","À jour"))))))))))))</f>
      </c>
      <c r="J156" s="22">
        <f>IF($A156="","",COUNTIFS(Réserves!$B$2:$B$301,$A156,Réserves!$J$2:$J$301,"Ouverte")+COUNTIFS(Réserves!$B$2:$B$301,$A156,Réserves!$J$2:$J$301,"En retard"))</f>
      </c>
      <c r="K156" s="20">
        <f>IF($C156="","",IFERROR(INDEX('Référentiel'!$B$2:$B$83,MATCH($C156,'Référentiel'!$A$2:$A$83,0)),"Type hors liste"))</f>
      </c>
      <c r="L156" s="22">
        <f>IF($C156="","",IF(IFERROR(INDEX('Référentiel'!$C$2:$C$83,MATCH($C156,'Référentiel'!$A$2:$A$83,0)),0)=0,"",IFERROR(INDEX('Référentiel'!$C$2:$C$83,MATCH($C156,'Référentiel'!$A$2:$A$83,0)),0)))</f>
      </c>
      <c r="M156" s="23"/>
      <c r="N156" s="22">
        <f>IF($C156="","",IF(IF($M156&lt;&gt;"",IF($L156&lt;&gt;"",MIN($L156,$M156),$M156),IF($L156&lt;&gt;"",$L156,IF(IFERROR(INDEX('Référentiel'!$D$2:$D$83,MATCH($C156,'Référentiel'!$A$2:$A$83,0)),0)&gt;0,IFERROR(INDEX('Référentiel'!$D$2:$D$83,MATCH($C156,'Référentiel'!$A$2:$A$83,0)),0),"")))="","",IF(AND(IFERROR(INDEX('Référentiel'!$F$2:$F$83,MATCH($C156,'Référentiel'!$A$2:$A$83,0)),0)&gt;0,N($J156)&gt;0),MIN(IF($M156&lt;&gt;"",IF($L156&lt;&gt;"",MIN($L156,$M156),$M156),IF($L156&lt;&gt;"",$L156,IF(IFERROR(INDEX('Référentiel'!$D$2:$D$83,MATCH($C156,'Référentiel'!$A$2:$A$83,0)),0)&gt;0,IFERROR(INDEX('Référentiel'!$D$2:$D$83,MATCH($C156,'Référentiel'!$A$2:$A$83,0)),0),""))),IFERROR(INDEX('Référentiel'!$F$2:$F$83,MATCH($C156,'Référentiel'!$A$2:$A$83,0)),0)),IF($M156&lt;&gt;"",IF($L156&lt;&gt;"",MIN($L156,$M156),$M156),IF($L156&lt;&gt;"",$L156,IF(IFERROR(INDEX('Référentiel'!$D$2:$D$83,MATCH($C156,'Référentiel'!$A$2:$A$83,0)),0)&gt;0,IFERROR(INDEX('Référentiel'!$D$2:$D$83,MATCH($C156,'Référentiel'!$A$2:$A$83,0)),0),""))))))</f>
      </c>
      <c r="O156" s="9"/>
      <c r="P156" s="23"/>
      <c r="Q156" s="9"/>
      <c r="R156" s="24"/>
      <c r="S156" s="23"/>
      <c r="T156" s="23"/>
      <c r="U156" s="24"/>
      <c r="V156" s="20">
        <f>IF($C156="","",IFERROR(INDEX('Référentiel'!$K$2:$K$83,MATCH($C156,'Référentiel'!$A$2:$A$83,0)),""))</f>
      </c>
      <c r="W156" s="20">
        <f>IF(AND(ISNUMBER($G156),$I156&lt;&gt;"Hors service",$I156&lt;&gt;"Location terminée"),$G156+ROW()/100000,"")</f>
      </c>
      <c r="X156" s="9"/>
    </row>
    <row r="157" spans="1:24" x14ac:dyDescent="0.25">
      <c r="A157" s="9"/>
      <c r="B157" s="9"/>
      <c r="C157" s="9"/>
      <c r="D157" s="9"/>
      <c r="E157" s="19">
        <f>IF($A157="","",IF(SUMPRODUCT(MAX((Vérifications!$B$2:$B$1001=$A157)*Vérifications!$L$2:$L$1001))=0,"",SUMPRODUCT(MAX((Vérifications!$B$2:$B$1001=$A157)*Vérifications!$L$2:$L$1001))))</f>
      </c>
      <c r="F157" s="20">
        <f>IF($E157="","",IFERROR(INDEX(Vérifications!$E$2:$E$1001,MATCH($A157&amp;"|"&amp;$E157,Vérifications!$M$2:$M$1001,0)),""))</f>
      </c>
      <c r="G157" s="19">
        <f>IF($N157="","",IF(ISNUMBER($E157),EDATE($E157,$N157),IF(AND(ISNUMBER($U157),IFERROR(INDEX('Référentiel'!$E$2:$E$83,MATCH($C157,'Référentiel'!$A$2:$A$83,0)),0)&gt;0),EDATE($U157,IFERROR(INDEX('Référentiel'!$E$2:$E$83,MATCH($C157,'Référentiel'!$A$2:$A$83,0)),0)),"")))</f>
      </c>
      <c r="H157" s="21">
        <f>IF(ISNUMBER($G157),$G157-TODAY(),"")</f>
      </c>
      <c r="I157" s="20">
        <f>IF(AND($A157="",$C157=""),"",IF($T157="Non","Hors service",IF(AND($Q157="Location",ISNUMBER($R157),$R157&lt;TODAY()),"Location terminée",IF(OR($F157="Mise à l'arrêt",IF($A157="",0,SUMPRODUCT((Réserves!$B$2:$B$301=$A157)*(Réserves!$E$2:$E$301="Mise à l'arrêt")*(Réserves!$J$2:$J$301&lt;&gt;"Levée")*(Réserves!$J$2:$J$301&lt;&gt;"")))&gt;0),"Arrêt : réserve à lever",IF($C157="","Type à choisir",IF($N157="","Périodicité à saisir",IF(OR(ISTEXT($U157),ISTEXT($R157)),"Date à corriger",IF(AND($E157="",$Q157="Location",$S157&lt;&gt;"Oui"),"Rapport loueur à obtenir",IF(NOT(ISNUMBER($G157)),"Vérif. initiale à tracer",IF($H157&lt;0,"En retard",IF(AND($Q157="Location",$S157&lt;&gt;"Oui"),"Rapport loueur à obtenir",IF($H157&lt;='Tableau de bord'!$C$4,"À planifier","À jour"))))))))))))</f>
      </c>
      <c r="J157" s="22">
        <f>IF($A157="","",COUNTIFS(Réserves!$B$2:$B$301,$A157,Réserves!$J$2:$J$301,"Ouverte")+COUNTIFS(Réserves!$B$2:$B$301,$A157,Réserves!$J$2:$J$301,"En retard"))</f>
      </c>
      <c r="K157" s="20">
        <f>IF($C157="","",IFERROR(INDEX('Référentiel'!$B$2:$B$83,MATCH($C157,'Référentiel'!$A$2:$A$83,0)),"Type hors liste"))</f>
      </c>
      <c r="L157" s="22">
        <f>IF($C157="","",IF(IFERROR(INDEX('Référentiel'!$C$2:$C$83,MATCH($C157,'Référentiel'!$A$2:$A$83,0)),0)=0,"",IFERROR(INDEX('Référentiel'!$C$2:$C$83,MATCH($C157,'Référentiel'!$A$2:$A$83,0)),0)))</f>
      </c>
      <c r="M157" s="23"/>
      <c r="N157" s="22">
        <f>IF($C157="","",IF(IF($M157&lt;&gt;"",IF($L157&lt;&gt;"",MIN($L157,$M157),$M157),IF($L157&lt;&gt;"",$L157,IF(IFERROR(INDEX('Référentiel'!$D$2:$D$83,MATCH($C157,'Référentiel'!$A$2:$A$83,0)),0)&gt;0,IFERROR(INDEX('Référentiel'!$D$2:$D$83,MATCH($C157,'Référentiel'!$A$2:$A$83,0)),0),"")))="","",IF(AND(IFERROR(INDEX('Référentiel'!$F$2:$F$83,MATCH($C157,'Référentiel'!$A$2:$A$83,0)),0)&gt;0,N($J157)&gt;0),MIN(IF($M157&lt;&gt;"",IF($L157&lt;&gt;"",MIN($L157,$M157),$M157),IF($L157&lt;&gt;"",$L157,IF(IFERROR(INDEX('Référentiel'!$D$2:$D$83,MATCH($C157,'Référentiel'!$A$2:$A$83,0)),0)&gt;0,IFERROR(INDEX('Référentiel'!$D$2:$D$83,MATCH($C157,'Référentiel'!$A$2:$A$83,0)),0),""))),IFERROR(INDEX('Référentiel'!$F$2:$F$83,MATCH($C157,'Référentiel'!$A$2:$A$83,0)),0)),IF($M157&lt;&gt;"",IF($L157&lt;&gt;"",MIN($L157,$M157),$M157),IF($L157&lt;&gt;"",$L157,IF(IFERROR(INDEX('Référentiel'!$D$2:$D$83,MATCH($C157,'Référentiel'!$A$2:$A$83,0)),0)&gt;0,IFERROR(INDEX('Référentiel'!$D$2:$D$83,MATCH($C157,'Référentiel'!$A$2:$A$83,0)),0),""))))))</f>
      </c>
      <c r="O157" s="9"/>
      <c r="P157" s="23"/>
      <c r="Q157" s="9"/>
      <c r="R157" s="24"/>
      <c r="S157" s="23"/>
      <c r="T157" s="23"/>
      <c r="U157" s="24"/>
      <c r="V157" s="20">
        <f>IF($C157="","",IFERROR(INDEX('Référentiel'!$K$2:$K$83,MATCH($C157,'Référentiel'!$A$2:$A$83,0)),""))</f>
      </c>
      <c r="W157" s="20">
        <f>IF(AND(ISNUMBER($G157),$I157&lt;&gt;"Hors service",$I157&lt;&gt;"Location terminée"),$G157+ROW()/100000,"")</f>
      </c>
      <c r="X157" s="9"/>
    </row>
    <row r="158" spans="1:24" x14ac:dyDescent="0.25">
      <c r="A158" s="9"/>
      <c r="B158" s="9"/>
      <c r="C158" s="9"/>
      <c r="D158" s="9"/>
      <c r="E158" s="19">
        <f>IF($A158="","",IF(SUMPRODUCT(MAX((Vérifications!$B$2:$B$1001=$A158)*Vérifications!$L$2:$L$1001))=0,"",SUMPRODUCT(MAX((Vérifications!$B$2:$B$1001=$A158)*Vérifications!$L$2:$L$1001))))</f>
      </c>
      <c r="F158" s="20">
        <f>IF($E158="","",IFERROR(INDEX(Vérifications!$E$2:$E$1001,MATCH($A158&amp;"|"&amp;$E158,Vérifications!$M$2:$M$1001,0)),""))</f>
      </c>
      <c r="G158" s="19">
        <f>IF($N158="","",IF(ISNUMBER($E158),EDATE($E158,$N158),IF(AND(ISNUMBER($U158),IFERROR(INDEX('Référentiel'!$E$2:$E$83,MATCH($C158,'Référentiel'!$A$2:$A$83,0)),0)&gt;0),EDATE($U158,IFERROR(INDEX('Référentiel'!$E$2:$E$83,MATCH($C158,'Référentiel'!$A$2:$A$83,0)),0)),"")))</f>
      </c>
      <c r="H158" s="21">
        <f>IF(ISNUMBER($G158),$G158-TODAY(),"")</f>
      </c>
      <c r="I158" s="20">
        <f>IF(AND($A158="",$C158=""),"",IF($T158="Non","Hors service",IF(AND($Q158="Location",ISNUMBER($R158),$R158&lt;TODAY()),"Location terminée",IF(OR($F158="Mise à l'arrêt",IF($A158="",0,SUMPRODUCT((Réserves!$B$2:$B$301=$A158)*(Réserves!$E$2:$E$301="Mise à l'arrêt")*(Réserves!$J$2:$J$301&lt;&gt;"Levée")*(Réserves!$J$2:$J$301&lt;&gt;"")))&gt;0),"Arrêt : réserve à lever",IF($C158="","Type à choisir",IF($N158="","Périodicité à saisir",IF(OR(ISTEXT($U158),ISTEXT($R158)),"Date à corriger",IF(AND($E158="",$Q158="Location",$S158&lt;&gt;"Oui"),"Rapport loueur à obtenir",IF(NOT(ISNUMBER($G158)),"Vérif. initiale à tracer",IF($H158&lt;0,"En retard",IF(AND($Q158="Location",$S158&lt;&gt;"Oui"),"Rapport loueur à obtenir",IF($H158&lt;='Tableau de bord'!$C$4,"À planifier","À jour"))))))))))))</f>
      </c>
      <c r="J158" s="22">
        <f>IF($A158="","",COUNTIFS(Réserves!$B$2:$B$301,$A158,Réserves!$J$2:$J$301,"Ouverte")+COUNTIFS(Réserves!$B$2:$B$301,$A158,Réserves!$J$2:$J$301,"En retard"))</f>
      </c>
      <c r="K158" s="20">
        <f>IF($C158="","",IFERROR(INDEX('Référentiel'!$B$2:$B$83,MATCH($C158,'Référentiel'!$A$2:$A$83,0)),"Type hors liste"))</f>
      </c>
      <c r="L158" s="22">
        <f>IF($C158="","",IF(IFERROR(INDEX('Référentiel'!$C$2:$C$83,MATCH($C158,'Référentiel'!$A$2:$A$83,0)),0)=0,"",IFERROR(INDEX('Référentiel'!$C$2:$C$83,MATCH($C158,'Référentiel'!$A$2:$A$83,0)),0)))</f>
      </c>
      <c r="M158" s="23"/>
      <c r="N158" s="22">
        <f>IF($C158="","",IF(IF($M158&lt;&gt;"",IF($L158&lt;&gt;"",MIN($L158,$M158),$M158),IF($L158&lt;&gt;"",$L158,IF(IFERROR(INDEX('Référentiel'!$D$2:$D$83,MATCH($C158,'Référentiel'!$A$2:$A$83,0)),0)&gt;0,IFERROR(INDEX('Référentiel'!$D$2:$D$83,MATCH($C158,'Référentiel'!$A$2:$A$83,0)),0),"")))="","",IF(AND(IFERROR(INDEX('Référentiel'!$F$2:$F$83,MATCH($C158,'Référentiel'!$A$2:$A$83,0)),0)&gt;0,N($J158)&gt;0),MIN(IF($M158&lt;&gt;"",IF($L158&lt;&gt;"",MIN($L158,$M158),$M158),IF($L158&lt;&gt;"",$L158,IF(IFERROR(INDEX('Référentiel'!$D$2:$D$83,MATCH($C158,'Référentiel'!$A$2:$A$83,0)),0)&gt;0,IFERROR(INDEX('Référentiel'!$D$2:$D$83,MATCH($C158,'Référentiel'!$A$2:$A$83,0)),0),""))),IFERROR(INDEX('Référentiel'!$F$2:$F$83,MATCH($C158,'Référentiel'!$A$2:$A$83,0)),0)),IF($M158&lt;&gt;"",IF($L158&lt;&gt;"",MIN($L158,$M158),$M158),IF($L158&lt;&gt;"",$L158,IF(IFERROR(INDEX('Référentiel'!$D$2:$D$83,MATCH($C158,'Référentiel'!$A$2:$A$83,0)),0)&gt;0,IFERROR(INDEX('Référentiel'!$D$2:$D$83,MATCH($C158,'Référentiel'!$A$2:$A$83,0)),0),""))))))</f>
      </c>
      <c r="O158" s="9"/>
      <c r="P158" s="23"/>
      <c r="Q158" s="9"/>
      <c r="R158" s="24"/>
      <c r="S158" s="23"/>
      <c r="T158" s="23"/>
      <c r="U158" s="24"/>
      <c r="V158" s="20">
        <f>IF($C158="","",IFERROR(INDEX('Référentiel'!$K$2:$K$83,MATCH($C158,'Référentiel'!$A$2:$A$83,0)),""))</f>
      </c>
      <c r="W158" s="20">
        <f>IF(AND(ISNUMBER($G158),$I158&lt;&gt;"Hors service",$I158&lt;&gt;"Location terminée"),$G158+ROW()/100000,"")</f>
      </c>
      <c r="X158" s="9"/>
    </row>
    <row r="159" spans="1:24" x14ac:dyDescent="0.25">
      <c r="A159" s="9"/>
      <c r="B159" s="9"/>
      <c r="C159" s="9"/>
      <c r="D159" s="9"/>
      <c r="E159" s="19">
        <f>IF($A159="","",IF(SUMPRODUCT(MAX((Vérifications!$B$2:$B$1001=$A159)*Vérifications!$L$2:$L$1001))=0,"",SUMPRODUCT(MAX((Vérifications!$B$2:$B$1001=$A159)*Vérifications!$L$2:$L$1001))))</f>
      </c>
      <c r="F159" s="20">
        <f>IF($E159="","",IFERROR(INDEX(Vérifications!$E$2:$E$1001,MATCH($A159&amp;"|"&amp;$E159,Vérifications!$M$2:$M$1001,0)),""))</f>
      </c>
      <c r="G159" s="19">
        <f>IF($N159="","",IF(ISNUMBER($E159),EDATE($E159,$N159),IF(AND(ISNUMBER($U159),IFERROR(INDEX('Référentiel'!$E$2:$E$83,MATCH($C159,'Référentiel'!$A$2:$A$83,0)),0)&gt;0),EDATE($U159,IFERROR(INDEX('Référentiel'!$E$2:$E$83,MATCH($C159,'Référentiel'!$A$2:$A$83,0)),0)),"")))</f>
      </c>
      <c r="H159" s="21">
        <f>IF(ISNUMBER($G159),$G159-TODAY(),"")</f>
      </c>
      <c r="I159" s="20">
        <f>IF(AND($A159="",$C159=""),"",IF($T159="Non","Hors service",IF(AND($Q159="Location",ISNUMBER($R159),$R159&lt;TODAY()),"Location terminée",IF(OR($F159="Mise à l'arrêt",IF($A159="",0,SUMPRODUCT((Réserves!$B$2:$B$301=$A159)*(Réserves!$E$2:$E$301="Mise à l'arrêt")*(Réserves!$J$2:$J$301&lt;&gt;"Levée")*(Réserves!$J$2:$J$301&lt;&gt;"")))&gt;0),"Arrêt : réserve à lever",IF($C159="","Type à choisir",IF($N159="","Périodicité à saisir",IF(OR(ISTEXT($U159),ISTEXT($R159)),"Date à corriger",IF(AND($E159="",$Q159="Location",$S159&lt;&gt;"Oui"),"Rapport loueur à obtenir",IF(NOT(ISNUMBER($G159)),"Vérif. initiale à tracer",IF($H159&lt;0,"En retard",IF(AND($Q159="Location",$S159&lt;&gt;"Oui"),"Rapport loueur à obtenir",IF($H159&lt;='Tableau de bord'!$C$4,"À planifier","À jour"))))))))))))</f>
      </c>
      <c r="J159" s="22">
        <f>IF($A159="","",COUNTIFS(Réserves!$B$2:$B$301,$A159,Réserves!$J$2:$J$301,"Ouverte")+COUNTIFS(Réserves!$B$2:$B$301,$A159,Réserves!$J$2:$J$301,"En retard"))</f>
      </c>
      <c r="K159" s="20">
        <f>IF($C159="","",IFERROR(INDEX('Référentiel'!$B$2:$B$83,MATCH($C159,'Référentiel'!$A$2:$A$83,0)),"Type hors liste"))</f>
      </c>
      <c r="L159" s="22">
        <f>IF($C159="","",IF(IFERROR(INDEX('Référentiel'!$C$2:$C$83,MATCH($C159,'Référentiel'!$A$2:$A$83,0)),0)=0,"",IFERROR(INDEX('Référentiel'!$C$2:$C$83,MATCH($C159,'Référentiel'!$A$2:$A$83,0)),0)))</f>
      </c>
      <c r="M159" s="23"/>
      <c r="N159" s="22">
        <f>IF($C159="","",IF(IF($M159&lt;&gt;"",IF($L159&lt;&gt;"",MIN($L159,$M159),$M159),IF($L159&lt;&gt;"",$L159,IF(IFERROR(INDEX('Référentiel'!$D$2:$D$83,MATCH($C159,'Référentiel'!$A$2:$A$83,0)),0)&gt;0,IFERROR(INDEX('Référentiel'!$D$2:$D$83,MATCH($C159,'Référentiel'!$A$2:$A$83,0)),0),"")))="","",IF(AND(IFERROR(INDEX('Référentiel'!$F$2:$F$83,MATCH($C159,'Référentiel'!$A$2:$A$83,0)),0)&gt;0,N($J159)&gt;0),MIN(IF($M159&lt;&gt;"",IF($L159&lt;&gt;"",MIN($L159,$M159),$M159),IF($L159&lt;&gt;"",$L159,IF(IFERROR(INDEX('Référentiel'!$D$2:$D$83,MATCH($C159,'Référentiel'!$A$2:$A$83,0)),0)&gt;0,IFERROR(INDEX('Référentiel'!$D$2:$D$83,MATCH($C159,'Référentiel'!$A$2:$A$83,0)),0),""))),IFERROR(INDEX('Référentiel'!$F$2:$F$83,MATCH($C159,'Référentiel'!$A$2:$A$83,0)),0)),IF($M159&lt;&gt;"",IF($L159&lt;&gt;"",MIN($L159,$M159),$M159),IF($L159&lt;&gt;"",$L159,IF(IFERROR(INDEX('Référentiel'!$D$2:$D$83,MATCH($C159,'Référentiel'!$A$2:$A$83,0)),0)&gt;0,IFERROR(INDEX('Référentiel'!$D$2:$D$83,MATCH($C159,'Référentiel'!$A$2:$A$83,0)),0),""))))))</f>
      </c>
      <c r="O159" s="9"/>
      <c r="P159" s="23"/>
      <c r="Q159" s="9"/>
      <c r="R159" s="24"/>
      <c r="S159" s="23"/>
      <c r="T159" s="23"/>
      <c r="U159" s="24"/>
      <c r="V159" s="20">
        <f>IF($C159="","",IFERROR(INDEX('Référentiel'!$K$2:$K$83,MATCH($C159,'Référentiel'!$A$2:$A$83,0)),""))</f>
      </c>
      <c r="W159" s="20">
        <f>IF(AND(ISNUMBER($G159),$I159&lt;&gt;"Hors service",$I159&lt;&gt;"Location terminée"),$G159+ROW()/100000,"")</f>
      </c>
      <c r="X159" s="9"/>
    </row>
    <row r="160" spans="1:24" x14ac:dyDescent="0.25">
      <c r="A160" s="9"/>
      <c r="B160" s="9"/>
      <c r="C160" s="9"/>
      <c r="D160" s="9"/>
      <c r="E160" s="19">
        <f>IF($A160="","",IF(SUMPRODUCT(MAX((Vérifications!$B$2:$B$1001=$A160)*Vérifications!$L$2:$L$1001))=0,"",SUMPRODUCT(MAX((Vérifications!$B$2:$B$1001=$A160)*Vérifications!$L$2:$L$1001))))</f>
      </c>
      <c r="F160" s="20">
        <f>IF($E160="","",IFERROR(INDEX(Vérifications!$E$2:$E$1001,MATCH($A160&amp;"|"&amp;$E160,Vérifications!$M$2:$M$1001,0)),""))</f>
      </c>
      <c r="G160" s="19">
        <f>IF($N160="","",IF(ISNUMBER($E160),EDATE($E160,$N160),IF(AND(ISNUMBER($U160),IFERROR(INDEX('Référentiel'!$E$2:$E$83,MATCH($C160,'Référentiel'!$A$2:$A$83,0)),0)&gt;0),EDATE($U160,IFERROR(INDEX('Référentiel'!$E$2:$E$83,MATCH($C160,'Référentiel'!$A$2:$A$83,0)),0)),"")))</f>
      </c>
      <c r="H160" s="21">
        <f>IF(ISNUMBER($G160),$G160-TODAY(),"")</f>
      </c>
      <c r="I160" s="20">
        <f>IF(AND($A160="",$C160=""),"",IF($T160="Non","Hors service",IF(AND($Q160="Location",ISNUMBER($R160),$R160&lt;TODAY()),"Location terminée",IF(OR($F160="Mise à l'arrêt",IF($A160="",0,SUMPRODUCT((Réserves!$B$2:$B$301=$A160)*(Réserves!$E$2:$E$301="Mise à l'arrêt")*(Réserves!$J$2:$J$301&lt;&gt;"Levée")*(Réserves!$J$2:$J$301&lt;&gt;"")))&gt;0),"Arrêt : réserve à lever",IF($C160="","Type à choisir",IF($N160="","Périodicité à saisir",IF(OR(ISTEXT($U160),ISTEXT($R160)),"Date à corriger",IF(AND($E160="",$Q160="Location",$S160&lt;&gt;"Oui"),"Rapport loueur à obtenir",IF(NOT(ISNUMBER($G160)),"Vérif. initiale à tracer",IF($H160&lt;0,"En retard",IF(AND($Q160="Location",$S160&lt;&gt;"Oui"),"Rapport loueur à obtenir",IF($H160&lt;='Tableau de bord'!$C$4,"À planifier","À jour"))))))))))))</f>
      </c>
      <c r="J160" s="22">
        <f>IF($A160="","",COUNTIFS(Réserves!$B$2:$B$301,$A160,Réserves!$J$2:$J$301,"Ouverte")+COUNTIFS(Réserves!$B$2:$B$301,$A160,Réserves!$J$2:$J$301,"En retard"))</f>
      </c>
      <c r="K160" s="20">
        <f>IF($C160="","",IFERROR(INDEX('Référentiel'!$B$2:$B$83,MATCH($C160,'Référentiel'!$A$2:$A$83,0)),"Type hors liste"))</f>
      </c>
      <c r="L160" s="22">
        <f>IF($C160="","",IF(IFERROR(INDEX('Référentiel'!$C$2:$C$83,MATCH($C160,'Référentiel'!$A$2:$A$83,0)),0)=0,"",IFERROR(INDEX('Référentiel'!$C$2:$C$83,MATCH($C160,'Référentiel'!$A$2:$A$83,0)),0)))</f>
      </c>
      <c r="M160" s="23"/>
      <c r="N160" s="22">
        <f>IF($C160="","",IF(IF($M160&lt;&gt;"",IF($L160&lt;&gt;"",MIN($L160,$M160),$M160),IF($L160&lt;&gt;"",$L160,IF(IFERROR(INDEX('Référentiel'!$D$2:$D$83,MATCH($C160,'Référentiel'!$A$2:$A$83,0)),0)&gt;0,IFERROR(INDEX('Référentiel'!$D$2:$D$83,MATCH($C160,'Référentiel'!$A$2:$A$83,0)),0),"")))="","",IF(AND(IFERROR(INDEX('Référentiel'!$F$2:$F$83,MATCH($C160,'Référentiel'!$A$2:$A$83,0)),0)&gt;0,N($J160)&gt;0),MIN(IF($M160&lt;&gt;"",IF($L160&lt;&gt;"",MIN($L160,$M160),$M160),IF($L160&lt;&gt;"",$L160,IF(IFERROR(INDEX('Référentiel'!$D$2:$D$83,MATCH($C160,'Référentiel'!$A$2:$A$83,0)),0)&gt;0,IFERROR(INDEX('Référentiel'!$D$2:$D$83,MATCH($C160,'Référentiel'!$A$2:$A$83,0)),0),""))),IFERROR(INDEX('Référentiel'!$F$2:$F$83,MATCH($C160,'Référentiel'!$A$2:$A$83,0)),0)),IF($M160&lt;&gt;"",IF($L160&lt;&gt;"",MIN($L160,$M160),$M160),IF($L160&lt;&gt;"",$L160,IF(IFERROR(INDEX('Référentiel'!$D$2:$D$83,MATCH($C160,'Référentiel'!$A$2:$A$83,0)),0)&gt;0,IFERROR(INDEX('Référentiel'!$D$2:$D$83,MATCH($C160,'Référentiel'!$A$2:$A$83,0)),0),""))))))</f>
      </c>
      <c r="O160" s="9"/>
      <c r="P160" s="23"/>
      <c r="Q160" s="9"/>
      <c r="R160" s="24"/>
      <c r="S160" s="23"/>
      <c r="T160" s="23"/>
      <c r="U160" s="24"/>
      <c r="V160" s="20">
        <f>IF($C160="","",IFERROR(INDEX('Référentiel'!$K$2:$K$83,MATCH($C160,'Référentiel'!$A$2:$A$83,0)),""))</f>
      </c>
      <c r="W160" s="20">
        <f>IF(AND(ISNUMBER($G160),$I160&lt;&gt;"Hors service",$I160&lt;&gt;"Location terminée"),$G160+ROW()/100000,"")</f>
      </c>
      <c r="X160" s="9"/>
    </row>
    <row r="161" spans="1:24" x14ac:dyDescent="0.25">
      <c r="A161" s="9"/>
      <c r="B161" s="9"/>
      <c r="C161" s="9"/>
      <c r="D161" s="9"/>
      <c r="E161" s="19">
        <f>IF($A161="","",IF(SUMPRODUCT(MAX((Vérifications!$B$2:$B$1001=$A161)*Vérifications!$L$2:$L$1001))=0,"",SUMPRODUCT(MAX((Vérifications!$B$2:$B$1001=$A161)*Vérifications!$L$2:$L$1001))))</f>
      </c>
      <c r="F161" s="20">
        <f>IF($E161="","",IFERROR(INDEX(Vérifications!$E$2:$E$1001,MATCH($A161&amp;"|"&amp;$E161,Vérifications!$M$2:$M$1001,0)),""))</f>
      </c>
      <c r="G161" s="19">
        <f>IF($N161="","",IF(ISNUMBER($E161),EDATE($E161,$N161),IF(AND(ISNUMBER($U161),IFERROR(INDEX('Référentiel'!$E$2:$E$83,MATCH($C161,'Référentiel'!$A$2:$A$83,0)),0)&gt;0),EDATE($U161,IFERROR(INDEX('Référentiel'!$E$2:$E$83,MATCH($C161,'Référentiel'!$A$2:$A$83,0)),0)),"")))</f>
      </c>
      <c r="H161" s="21">
        <f>IF(ISNUMBER($G161),$G161-TODAY(),"")</f>
      </c>
      <c r="I161" s="20">
        <f>IF(AND($A161="",$C161=""),"",IF($T161="Non","Hors service",IF(AND($Q161="Location",ISNUMBER($R161),$R161&lt;TODAY()),"Location terminée",IF(OR($F161="Mise à l'arrêt",IF($A161="",0,SUMPRODUCT((Réserves!$B$2:$B$301=$A161)*(Réserves!$E$2:$E$301="Mise à l'arrêt")*(Réserves!$J$2:$J$301&lt;&gt;"Levée")*(Réserves!$J$2:$J$301&lt;&gt;"")))&gt;0),"Arrêt : réserve à lever",IF($C161="","Type à choisir",IF($N161="","Périodicité à saisir",IF(OR(ISTEXT($U161),ISTEXT($R161)),"Date à corriger",IF(AND($E161="",$Q161="Location",$S161&lt;&gt;"Oui"),"Rapport loueur à obtenir",IF(NOT(ISNUMBER($G161)),"Vérif. initiale à tracer",IF($H161&lt;0,"En retard",IF(AND($Q161="Location",$S161&lt;&gt;"Oui"),"Rapport loueur à obtenir",IF($H161&lt;='Tableau de bord'!$C$4,"À planifier","À jour"))))))))))))</f>
      </c>
      <c r="J161" s="22">
        <f>IF($A161="","",COUNTIFS(Réserves!$B$2:$B$301,$A161,Réserves!$J$2:$J$301,"Ouverte")+COUNTIFS(Réserves!$B$2:$B$301,$A161,Réserves!$J$2:$J$301,"En retard"))</f>
      </c>
      <c r="K161" s="20">
        <f>IF($C161="","",IFERROR(INDEX('Référentiel'!$B$2:$B$83,MATCH($C161,'Référentiel'!$A$2:$A$83,0)),"Type hors liste"))</f>
      </c>
      <c r="L161" s="22">
        <f>IF($C161="","",IF(IFERROR(INDEX('Référentiel'!$C$2:$C$83,MATCH($C161,'Référentiel'!$A$2:$A$83,0)),0)=0,"",IFERROR(INDEX('Référentiel'!$C$2:$C$83,MATCH($C161,'Référentiel'!$A$2:$A$83,0)),0)))</f>
      </c>
      <c r="M161" s="23"/>
      <c r="N161" s="22">
        <f>IF($C161="","",IF(IF($M161&lt;&gt;"",IF($L161&lt;&gt;"",MIN($L161,$M161),$M161),IF($L161&lt;&gt;"",$L161,IF(IFERROR(INDEX('Référentiel'!$D$2:$D$83,MATCH($C161,'Référentiel'!$A$2:$A$83,0)),0)&gt;0,IFERROR(INDEX('Référentiel'!$D$2:$D$83,MATCH($C161,'Référentiel'!$A$2:$A$83,0)),0),"")))="","",IF(AND(IFERROR(INDEX('Référentiel'!$F$2:$F$83,MATCH($C161,'Référentiel'!$A$2:$A$83,0)),0)&gt;0,N($J161)&gt;0),MIN(IF($M161&lt;&gt;"",IF($L161&lt;&gt;"",MIN($L161,$M161),$M161),IF($L161&lt;&gt;"",$L161,IF(IFERROR(INDEX('Référentiel'!$D$2:$D$83,MATCH($C161,'Référentiel'!$A$2:$A$83,0)),0)&gt;0,IFERROR(INDEX('Référentiel'!$D$2:$D$83,MATCH($C161,'Référentiel'!$A$2:$A$83,0)),0),""))),IFERROR(INDEX('Référentiel'!$F$2:$F$83,MATCH($C161,'Référentiel'!$A$2:$A$83,0)),0)),IF($M161&lt;&gt;"",IF($L161&lt;&gt;"",MIN($L161,$M161),$M161),IF($L161&lt;&gt;"",$L161,IF(IFERROR(INDEX('Référentiel'!$D$2:$D$83,MATCH($C161,'Référentiel'!$A$2:$A$83,0)),0)&gt;0,IFERROR(INDEX('Référentiel'!$D$2:$D$83,MATCH($C161,'Référentiel'!$A$2:$A$83,0)),0),""))))))</f>
      </c>
      <c r="O161" s="9"/>
      <c r="P161" s="23"/>
      <c r="Q161" s="9"/>
      <c r="R161" s="24"/>
      <c r="S161" s="23"/>
      <c r="T161" s="23"/>
      <c r="U161" s="24"/>
      <c r="V161" s="20">
        <f>IF($C161="","",IFERROR(INDEX('Référentiel'!$K$2:$K$83,MATCH($C161,'Référentiel'!$A$2:$A$83,0)),""))</f>
      </c>
      <c r="W161" s="20">
        <f>IF(AND(ISNUMBER($G161),$I161&lt;&gt;"Hors service",$I161&lt;&gt;"Location terminée"),$G161+ROW()/100000,"")</f>
      </c>
      <c r="X161" s="9"/>
    </row>
    <row r="162" spans="1:24" x14ac:dyDescent="0.25">
      <c r="A162" s="9"/>
      <c r="B162" s="9"/>
      <c r="C162" s="9"/>
      <c r="D162" s="9"/>
      <c r="E162" s="19">
        <f>IF($A162="","",IF(SUMPRODUCT(MAX((Vérifications!$B$2:$B$1001=$A162)*Vérifications!$L$2:$L$1001))=0,"",SUMPRODUCT(MAX((Vérifications!$B$2:$B$1001=$A162)*Vérifications!$L$2:$L$1001))))</f>
      </c>
      <c r="F162" s="20">
        <f>IF($E162="","",IFERROR(INDEX(Vérifications!$E$2:$E$1001,MATCH($A162&amp;"|"&amp;$E162,Vérifications!$M$2:$M$1001,0)),""))</f>
      </c>
      <c r="G162" s="19">
        <f>IF($N162="","",IF(ISNUMBER($E162),EDATE($E162,$N162),IF(AND(ISNUMBER($U162),IFERROR(INDEX('Référentiel'!$E$2:$E$83,MATCH($C162,'Référentiel'!$A$2:$A$83,0)),0)&gt;0),EDATE($U162,IFERROR(INDEX('Référentiel'!$E$2:$E$83,MATCH($C162,'Référentiel'!$A$2:$A$83,0)),0)),"")))</f>
      </c>
      <c r="H162" s="21">
        <f>IF(ISNUMBER($G162),$G162-TODAY(),"")</f>
      </c>
      <c r="I162" s="20">
        <f>IF(AND($A162="",$C162=""),"",IF($T162="Non","Hors service",IF(AND($Q162="Location",ISNUMBER($R162),$R162&lt;TODAY()),"Location terminée",IF(OR($F162="Mise à l'arrêt",IF($A162="",0,SUMPRODUCT((Réserves!$B$2:$B$301=$A162)*(Réserves!$E$2:$E$301="Mise à l'arrêt")*(Réserves!$J$2:$J$301&lt;&gt;"Levée")*(Réserves!$J$2:$J$301&lt;&gt;"")))&gt;0),"Arrêt : réserve à lever",IF($C162="","Type à choisir",IF($N162="","Périodicité à saisir",IF(OR(ISTEXT($U162),ISTEXT($R162)),"Date à corriger",IF(AND($E162="",$Q162="Location",$S162&lt;&gt;"Oui"),"Rapport loueur à obtenir",IF(NOT(ISNUMBER($G162)),"Vérif. initiale à tracer",IF($H162&lt;0,"En retard",IF(AND($Q162="Location",$S162&lt;&gt;"Oui"),"Rapport loueur à obtenir",IF($H162&lt;='Tableau de bord'!$C$4,"À planifier","À jour"))))))))))))</f>
      </c>
      <c r="J162" s="22">
        <f>IF($A162="","",COUNTIFS(Réserves!$B$2:$B$301,$A162,Réserves!$J$2:$J$301,"Ouverte")+COUNTIFS(Réserves!$B$2:$B$301,$A162,Réserves!$J$2:$J$301,"En retard"))</f>
      </c>
      <c r="K162" s="20">
        <f>IF($C162="","",IFERROR(INDEX('Référentiel'!$B$2:$B$83,MATCH($C162,'Référentiel'!$A$2:$A$83,0)),"Type hors liste"))</f>
      </c>
      <c r="L162" s="22">
        <f>IF($C162="","",IF(IFERROR(INDEX('Référentiel'!$C$2:$C$83,MATCH($C162,'Référentiel'!$A$2:$A$83,0)),0)=0,"",IFERROR(INDEX('Référentiel'!$C$2:$C$83,MATCH($C162,'Référentiel'!$A$2:$A$83,0)),0)))</f>
      </c>
      <c r="M162" s="23"/>
      <c r="N162" s="22">
        <f>IF($C162="","",IF(IF($M162&lt;&gt;"",IF($L162&lt;&gt;"",MIN($L162,$M162),$M162),IF($L162&lt;&gt;"",$L162,IF(IFERROR(INDEX('Référentiel'!$D$2:$D$83,MATCH($C162,'Référentiel'!$A$2:$A$83,0)),0)&gt;0,IFERROR(INDEX('Référentiel'!$D$2:$D$83,MATCH($C162,'Référentiel'!$A$2:$A$83,0)),0),"")))="","",IF(AND(IFERROR(INDEX('Référentiel'!$F$2:$F$83,MATCH($C162,'Référentiel'!$A$2:$A$83,0)),0)&gt;0,N($J162)&gt;0),MIN(IF($M162&lt;&gt;"",IF($L162&lt;&gt;"",MIN($L162,$M162),$M162),IF($L162&lt;&gt;"",$L162,IF(IFERROR(INDEX('Référentiel'!$D$2:$D$83,MATCH($C162,'Référentiel'!$A$2:$A$83,0)),0)&gt;0,IFERROR(INDEX('Référentiel'!$D$2:$D$83,MATCH($C162,'Référentiel'!$A$2:$A$83,0)),0),""))),IFERROR(INDEX('Référentiel'!$F$2:$F$83,MATCH($C162,'Référentiel'!$A$2:$A$83,0)),0)),IF($M162&lt;&gt;"",IF($L162&lt;&gt;"",MIN($L162,$M162),$M162),IF($L162&lt;&gt;"",$L162,IF(IFERROR(INDEX('Référentiel'!$D$2:$D$83,MATCH($C162,'Référentiel'!$A$2:$A$83,0)),0)&gt;0,IFERROR(INDEX('Référentiel'!$D$2:$D$83,MATCH($C162,'Référentiel'!$A$2:$A$83,0)),0),""))))))</f>
      </c>
      <c r="O162" s="9"/>
      <c r="P162" s="23"/>
      <c r="Q162" s="9"/>
      <c r="R162" s="24"/>
      <c r="S162" s="23"/>
      <c r="T162" s="23"/>
      <c r="U162" s="24"/>
      <c r="V162" s="20">
        <f>IF($C162="","",IFERROR(INDEX('Référentiel'!$K$2:$K$83,MATCH($C162,'Référentiel'!$A$2:$A$83,0)),""))</f>
      </c>
      <c r="W162" s="20">
        <f>IF(AND(ISNUMBER($G162),$I162&lt;&gt;"Hors service",$I162&lt;&gt;"Location terminée"),$G162+ROW()/100000,"")</f>
      </c>
      <c r="X162" s="9"/>
    </row>
    <row r="163" spans="1:24" x14ac:dyDescent="0.25">
      <c r="A163" s="9"/>
      <c r="B163" s="9"/>
      <c r="C163" s="9"/>
      <c r="D163" s="9"/>
      <c r="E163" s="19">
        <f>IF($A163="","",IF(SUMPRODUCT(MAX((Vérifications!$B$2:$B$1001=$A163)*Vérifications!$L$2:$L$1001))=0,"",SUMPRODUCT(MAX((Vérifications!$B$2:$B$1001=$A163)*Vérifications!$L$2:$L$1001))))</f>
      </c>
      <c r="F163" s="20">
        <f>IF($E163="","",IFERROR(INDEX(Vérifications!$E$2:$E$1001,MATCH($A163&amp;"|"&amp;$E163,Vérifications!$M$2:$M$1001,0)),""))</f>
      </c>
      <c r="G163" s="19">
        <f>IF($N163="","",IF(ISNUMBER($E163),EDATE($E163,$N163),IF(AND(ISNUMBER($U163),IFERROR(INDEX('Référentiel'!$E$2:$E$83,MATCH($C163,'Référentiel'!$A$2:$A$83,0)),0)&gt;0),EDATE($U163,IFERROR(INDEX('Référentiel'!$E$2:$E$83,MATCH($C163,'Référentiel'!$A$2:$A$83,0)),0)),"")))</f>
      </c>
      <c r="H163" s="21">
        <f>IF(ISNUMBER($G163),$G163-TODAY(),"")</f>
      </c>
      <c r="I163" s="20">
        <f>IF(AND($A163="",$C163=""),"",IF($T163="Non","Hors service",IF(AND($Q163="Location",ISNUMBER($R163),$R163&lt;TODAY()),"Location terminée",IF(OR($F163="Mise à l'arrêt",IF($A163="",0,SUMPRODUCT((Réserves!$B$2:$B$301=$A163)*(Réserves!$E$2:$E$301="Mise à l'arrêt")*(Réserves!$J$2:$J$301&lt;&gt;"Levée")*(Réserves!$J$2:$J$301&lt;&gt;"")))&gt;0),"Arrêt : réserve à lever",IF($C163="","Type à choisir",IF($N163="","Périodicité à saisir",IF(OR(ISTEXT($U163),ISTEXT($R163)),"Date à corriger",IF(AND($E163="",$Q163="Location",$S163&lt;&gt;"Oui"),"Rapport loueur à obtenir",IF(NOT(ISNUMBER($G163)),"Vérif. initiale à tracer",IF($H163&lt;0,"En retard",IF(AND($Q163="Location",$S163&lt;&gt;"Oui"),"Rapport loueur à obtenir",IF($H163&lt;='Tableau de bord'!$C$4,"À planifier","À jour"))))))))))))</f>
      </c>
      <c r="J163" s="22">
        <f>IF($A163="","",COUNTIFS(Réserves!$B$2:$B$301,$A163,Réserves!$J$2:$J$301,"Ouverte")+COUNTIFS(Réserves!$B$2:$B$301,$A163,Réserves!$J$2:$J$301,"En retard"))</f>
      </c>
      <c r="K163" s="20">
        <f>IF($C163="","",IFERROR(INDEX('Référentiel'!$B$2:$B$83,MATCH($C163,'Référentiel'!$A$2:$A$83,0)),"Type hors liste"))</f>
      </c>
      <c r="L163" s="22">
        <f>IF($C163="","",IF(IFERROR(INDEX('Référentiel'!$C$2:$C$83,MATCH($C163,'Référentiel'!$A$2:$A$83,0)),0)=0,"",IFERROR(INDEX('Référentiel'!$C$2:$C$83,MATCH($C163,'Référentiel'!$A$2:$A$83,0)),0)))</f>
      </c>
      <c r="M163" s="23"/>
      <c r="N163" s="22">
        <f>IF($C163="","",IF(IF($M163&lt;&gt;"",IF($L163&lt;&gt;"",MIN($L163,$M163),$M163),IF($L163&lt;&gt;"",$L163,IF(IFERROR(INDEX('Référentiel'!$D$2:$D$83,MATCH($C163,'Référentiel'!$A$2:$A$83,0)),0)&gt;0,IFERROR(INDEX('Référentiel'!$D$2:$D$83,MATCH($C163,'Référentiel'!$A$2:$A$83,0)),0),"")))="","",IF(AND(IFERROR(INDEX('Référentiel'!$F$2:$F$83,MATCH($C163,'Référentiel'!$A$2:$A$83,0)),0)&gt;0,N($J163)&gt;0),MIN(IF($M163&lt;&gt;"",IF($L163&lt;&gt;"",MIN($L163,$M163),$M163),IF($L163&lt;&gt;"",$L163,IF(IFERROR(INDEX('Référentiel'!$D$2:$D$83,MATCH($C163,'Référentiel'!$A$2:$A$83,0)),0)&gt;0,IFERROR(INDEX('Référentiel'!$D$2:$D$83,MATCH($C163,'Référentiel'!$A$2:$A$83,0)),0),""))),IFERROR(INDEX('Référentiel'!$F$2:$F$83,MATCH($C163,'Référentiel'!$A$2:$A$83,0)),0)),IF($M163&lt;&gt;"",IF($L163&lt;&gt;"",MIN($L163,$M163),$M163),IF($L163&lt;&gt;"",$L163,IF(IFERROR(INDEX('Référentiel'!$D$2:$D$83,MATCH($C163,'Référentiel'!$A$2:$A$83,0)),0)&gt;0,IFERROR(INDEX('Référentiel'!$D$2:$D$83,MATCH($C163,'Référentiel'!$A$2:$A$83,0)),0),""))))))</f>
      </c>
      <c r="O163" s="9"/>
      <c r="P163" s="23"/>
      <c r="Q163" s="9"/>
      <c r="R163" s="24"/>
      <c r="S163" s="23"/>
      <c r="T163" s="23"/>
      <c r="U163" s="24"/>
      <c r="V163" s="20">
        <f>IF($C163="","",IFERROR(INDEX('Référentiel'!$K$2:$K$83,MATCH($C163,'Référentiel'!$A$2:$A$83,0)),""))</f>
      </c>
      <c r="W163" s="20">
        <f>IF(AND(ISNUMBER($G163),$I163&lt;&gt;"Hors service",$I163&lt;&gt;"Location terminée"),$G163+ROW()/100000,"")</f>
      </c>
      <c r="X163" s="9"/>
    </row>
    <row r="164" spans="1:24" x14ac:dyDescent="0.25">
      <c r="A164" s="9"/>
      <c r="B164" s="9"/>
      <c r="C164" s="9"/>
      <c r="D164" s="9"/>
      <c r="E164" s="19">
        <f>IF($A164="","",IF(SUMPRODUCT(MAX((Vérifications!$B$2:$B$1001=$A164)*Vérifications!$L$2:$L$1001))=0,"",SUMPRODUCT(MAX((Vérifications!$B$2:$B$1001=$A164)*Vérifications!$L$2:$L$1001))))</f>
      </c>
      <c r="F164" s="20">
        <f>IF($E164="","",IFERROR(INDEX(Vérifications!$E$2:$E$1001,MATCH($A164&amp;"|"&amp;$E164,Vérifications!$M$2:$M$1001,0)),""))</f>
      </c>
      <c r="G164" s="19">
        <f>IF($N164="","",IF(ISNUMBER($E164),EDATE($E164,$N164),IF(AND(ISNUMBER($U164),IFERROR(INDEX('Référentiel'!$E$2:$E$83,MATCH($C164,'Référentiel'!$A$2:$A$83,0)),0)&gt;0),EDATE($U164,IFERROR(INDEX('Référentiel'!$E$2:$E$83,MATCH($C164,'Référentiel'!$A$2:$A$83,0)),0)),"")))</f>
      </c>
      <c r="H164" s="21">
        <f>IF(ISNUMBER($G164),$G164-TODAY(),"")</f>
      </c>
      <c r="I164" s="20">
        <f>IF(AND($A164="",$C164=""),"",IF($T164="Non","Hors service",IF(AND($Q164="Location",ISNUMBER($R164),$R164&lt;TODAY()),"Location terminée",IF(OR($F164="Mise à l'arrêt",IF($A164="",0,SUMPRODUCT((Réserves!$B$2:$B$301=$A164)*(Réserves!$E$2:$E$301="Mise à l'arrêt")*(Réserves!$J$2:$J$301&lt;&gt;"Levée")*(Réserves!$J$2:$J$301&lt;&gt;"")))&gt;0),"Arrêt : réserve à lever",IF($C164="","Type à choisir",IF($N164="","Périodicité à saisir",IF(OR(ISTEXT($U164),ISTEXT($R164)),"Date à corriger",IF(AND($E164="",$Q164="Location",$S164&lt;&gt;"Oui"),"Rapport loueur à obtenir",IF(NOT(ISNUMBER($G164)),"Vérif. initiale à tracer",IF($H164&lt;0,"En retard",IF(AND($Q164="Location",$S164&lt;&gt;"Oui"),"Rapport loueur à obtenir",IF($H164&lt;='Tableau de bord'!$C$4,"À planifier","À jour"))))))))))))</f>
      </c>
      <c r="J164" s="22">
        <f>IF($A164="","",COUNTIFS(Réserves!$B$2:$B$301,$A164,Réserves!$J$2:$J$301,"Ouverte")+COUNTIFS(Réserves!$B$2:$B$301,$A164,Réserves!$J$2:$J$301,"En retard"))</f>
      </c>
      <c r="K164" s="20">
        <f>IF($C164="","",IFERROR(INDEX('Référentiel'!$B$2:$B$83,MATCH($C164,'Référentiel'!$A$2:$A$83,0)),"Type hors liste"))</f>
      </c>
      <c r="L164" s="22">
        <f>IF($C164="","",IF(IFERROR(INDEX('Référentiel'!$C$2:$C$83,MATCH($C164,'Référentiel'!$A$2:$A$83,0)),0)=0,"",IFERROR(INDEX('Référentiel'!$C$2:$C$83,MATCH($C164,'Référentiel'!$A$2:$A$83,0)),0)))</f>
      </c>
      <c r="M164" s="23"/>
      <c r="N164" s="22">
        <f>IF($C164="","",IF(IF($M164&lt;&gt;"",IF($L164&lt;&gt;"",MIN($L164,$M164),$M164),IF($L164&lt;&gt;"",$L164,IF(IFERROR(INDEX('Référentiel'!$D$2:$D$83,MATCH($C164,'Référentiel'!$A$2:$A$83,0)),0)&gt;0,IFERROR(INDEX('Référentiel'!$D$2:$D$83,MATCH($C164,'Référentiel'!$A$2:$A$83,0)),0),"")))="","",IF(AND(IFERROR(INDEX('Référentiel'!$F$2:$F$83,MATCH($C164,'Référentiel'!$A$2:$A$83,0)),0)&gt;0,N($J164)&gt;0),MIN(IF($M164&lt;&gt;"",IF($L164&lt;&gt;"",MIN($L164,$M164),$M164),IF($L164&lt;&gt;"",$L164,IF(IFERROR(INDEX('Référentiel'!$D$2:$D$83,MATCH($C164,'Référentiel'!$A$2:$A$83,0)),0)&gt;0,IFERROR(INDEX('Référentiel'!$D$2:$D$83,MATCH($C164,'Référentiel'!$A$2:$A$83,0)),0),""))),IFERROR(INDEX('Référentiel'!$F$2:$F$83,MATCH($C164,'Référentiel'!$A$2:$A$83,0)),0)),IF($M164&lt;&gt;"",IF($L164&lt;&gt;"",MIN($L164,$M164),$M164),IF($L164&lt;&gt;"",$L164,IF(IFERROR(INDEX('Référentiel'!$D$2:$D$83,MATCH($C164,'Référentiel'!$A$2:$A$83,0)),0)&gt;0,IFERROR(INDEX('Référentiel'!$D$2:$D$83,MATCH($C164,'Référentiel'!$A$2:$A$83,0)),0),""))))))</f>
      </c>
      <c r="O164" s="9"/>
      <c r="P164" s="23"/>
      <c r="Q164" s="9"/>
      <c r="R164" s="24"/>
      <c r="S164" s="23"/>
      <c r="T164" s="23"/>
      <c r="U164" s="24"/>
      <c r="V164" s="20">
        <f>IF($C164="","",IFERROR(INDEX('Référentiel'!$K$2:$K$83,MATCH($C164,'Référentiel'!$A$2:$A$83,0)),""))</f>
      </c>
      <c r="W164" s="20">
        <f>IF(AND(ISNUMBER($G164),$I164&lt;&gt;"Hors service",$I164&lt;&gt;"Location terminée"),$G164+ROW()/100000,"")</f>
      </c>
      <c r="X164" s="9"/>
    </row>
    <row r="165" spans="1:24" x14ac:dyDescent="0.25">
      <c r="A165" s="9"/>
      <c r="B165" s="9"/>
      <c r="C165" s="9"/>
      <c r="D165" s="9"/>
      <c r="E165" s="19">
        <f>IF($A165="","",IF(SUMPRODUCT(MAX((Vérifications!$B$2:$B$1001=$A165)*Vérifications!$L$2:$L$1001))=0,"",SUMPRODUCT(MAX((Vérifications!$B$2:$B$1001=$A165)*Vérifications!$L$2:$L$1001))))</f>
      </c>
      <c r="F165" s="20">
        <f>IF($E165="","",IFERROR(INDEX(Vérifications!$E$2:$E$1001,MATCH($A165&amp;"|"&amp;$E165,Vérifications!$M$2:$M$1001,0)),""))</f>
      </c>
      <c r="G165" s="19">
        <f>IF($N165="","",IF(ISNUMBER($E165),EDATE($E165,$N165),IF(AND(ISNUMBER($U165),IFERROR(INDEX('Référentiel'!$E$2:$E$83,MATCH($C165,'Référentiel'!$A$2:$A$83,0)),0)&gt;0),EDATE($U165,IFERROR(INDEX('Référentiel'!$E$2:$E$83,MATCH($C165,'Référentiel'!$A$2:$A$83,0)),0)),"")))</f>
      </c>
      <c r="H165" s="21">
        <f>IF(ISNUMBER($G165),$G165-TODAY(),"")</f>
      </c>
      <c r="I165" s="20">
        <f>IF(AND($A165="",$C165=""),"",IF($T165="Non","Hors service",IF(AND($Q165="Location",ISNUMBER($R165),$R165&lt;TODAY()),"Location terminée",IF(OR($F165="Mise à l'arrêt",IF($A165="",0,SUMPRODUCT((Réserves!$B$2:$B$301=$A165)*(Réserves!$E$2:$E$301="Mise à l'arrêt")*(Réserves!$J$2:$J$301&lt;&gt;"Levée")*(Réserves!$J$2:$J$301&lt;&gt;"")))&gt;0),"Arrêt : réserve à lever",IF($C165="","Type à choisir",IF($N165="","Périodicité à saisir",IF(OR(ISTEXT($U165),ISTEXT($R165)),"Date à corriger",IF(AND($E165="",$Q165="Location",$S165&lt;&gt;"Oui"),"Rapport loueur à obtenir",IF(NOT(ISNUMBER($G165)),"Vérif. initiale à tracer",IF($H165&lt;0,"En retard",IF(AND($Q165="Location",$S165&lt;&gt;"Oui"),"Rapport loueur à obtenir",IF($H165&lt;='Tableau de bord'!$C$4,"À planifier","À jour"))))))))))))</f>
      </c>
      <c r="J165" s="22">
        <f>IF($A165="","",COUNTIFS(Réserves!$B$2:$B$301,$A165,Réserves!$J$2:$J$301,"Ouverte")+COUNTIFS(Réserves!$B$2:$B$301,$A165,Réserves!$J$2:$J$301,"En retard"))</f>
      </c>
      <c r="K165" s="20">
        <f>IF($C165="","",IFERROR(INDEX('Référentiel'!$B$2:$B$83,MATCH($C165,'Référentiel'!$A$2:$A$83,0)),"Type hors liste"))</f>
      </c>
      <c r="L165" s="22">
        <f>IF($C165="","",IF(IFERROR(INDEX('Référentiel'!$C$2:$C$83,MATCH($C165,'Référentiel'!$A$2:$A$83,0)),0)=0,"",IFERROR(INDEX('Référentiel'!$C$2:$C$83,MATCH($C165,'Référentiel'!$A$2:$A$83,0)),0)))</f>
      </c>
      <c r="M165" s="23"/>
      <c r="N165" s="22">
        <f>IF($C165="","",IF(IF($M165&lt;&gt;"",IF($L165&lt;&gt;"",MIN($L165,$M165),$M165),IF($L165&lt;&gt;"",$L165,IF(IFERROR(INDEX('Référentiel'!$D$2:$D$83,MATCH($C165,'Référentiel'!$A$2:$A$83,0)),0)&gt;0,IFERROR(INDEX('Référentiel'!$D$2:$D$83,MATCH($C165,'Référentiel'!$A$2:$A$83,0)),0),"")))="","",IF(AND(IFERROR(INDEX('Référentiel'!$F$2:$F$83,MATCH($C165,'Référentiel'!$A$2:$A$83,0)),0)&gt;0,N($J165)&gt;0),MIN(IF($M165&lt;&gt;"",IF($L165&lt;&gt;"",MIN($L165,$M165),$M165),IF($L165&lt;&gt;"",$L165,IF(IFERROR(INDEX('Référentiel'!$D$2:$D$83,MATCH($C165,'Référentiel'!$A$2:$A$83,0)),0)&gt;0,IFERROR(INDEX('Référentiel'!$D$2:$D$83,MATCH($C165,'Référentiel'!$A$2:$A$83,0)),0),""))),IFERROR(INDEX('Référentiel'!$F$2:$F$83,MATCH($C165,'Référentiel'!$A$2:$A$83,0)),0)),IF($M165&lt;&gt;"",IF($L165&lt;&gt;"",MIN($L165,$M165),$M165),IF($L165&lt;&gt;"",$L165,IF(IFERROR(INDEX('Référentiel'!$D$2:$D$83,MATCH($C165,'Référentiel'!$A$2:$A$83,0)),0)&gt;0,IFERROR(INDEX('Référentiel'!$D$2:$D$83,MATCH($C165,'Référentiel'!$A$2:$A$83,0)),0),""))))))</f>
      </c>
      <c r="O165" s="9"/>
      <c r="P165" s="23"/>
      <c r="Q165" s="9"/>
      <c r="R165" s="24"/>
      <c r="S165" s="23"/>
      <c r="T165" s="23"/>
      <c r="U165" s="24"/>
      <c r="V165" s="20">
        <f>IF($C165="","",IFERROR(INDEX('Référentiel'!$K$2:$K$83,MATCH($C165,'Référentiel'!$A$2:$A$83,0)),""))</f>
      </c>
      <c r="W165" s="20">
        <f>IF(AND(ISNUMBER($G165),$I165&lt;&gt;"Hors service",$I165&lt;&gt;"Location terminée"),$G165+ROW()/100000,"")</f>
      </c>
      <c r="X165" s="9"/>
    </row>
    <row r="166" spans="1:24" x14ac:dyDescent="0.25">
      <c r="A166" s="9"/>
      <c r="B166" s="9"/>
      <c r="C166" s="9"/>
      <c r="D166" s="9"/>
      <c r="E166" s="19">
        <f>IF($A166="","",IF(SUMPRODUCT(MAX((Vérifications!$B$2:$B$1001=$A166)*Vérifications!$L$2:$L$1001))=0,"",SUMPRODUCT(MAX((Vérifications!$B$2:$B$1001=$A166)*Vérifications!$L$2:$L$1001))))</f>
      </c>
      <c r="F166" s="20">
        <f>IF($E166="","",IFERROR(INDEX(Vérifications!$E$2:$E$1001,MATCH($A166&amp;"|"&amp;$E166,Vérifications!$M$2:$M$1001,0)),""))</f>
      </c>
      <c r="G166" s="19">
        <f>IF($N166="","",IF(ISNUMBER($E166),EDATE($E166,$N166),IF(AND(ISNUMBER($U166),IFERROR(INDEX('Référentiel'!$E$2:$E$83,MATCH($C166,'Référentiel'!$A$2:$A$83,0)),0)&gt;0),EDATE($U166,IFERROR(INDEX('Référentiel'!$E$2:$E$83,MATCH($C166,'Référentiel'!$A$2:$A$83,0)),0)),"")))</f>
      </c>
      <c r="H166" s="21">
        <f>IF(ISNUMBER($G166),$G166-TODAY(),"")</f>
      </c>
      <c r="I166" s="20">
        <f>IF(AND($A166="",$C166=""),"",IF($T166="Non","Hors service",IF(AND($Q166="Location",ISNUMBER($R166),$R166&lt;TODAY()),"Location terminée",IF(OR($F166="Mise à l'arrêt",IF($A166="",0,SUMPRODUCT((Réserves!$B$2:$B$301=$A166)*(Réserves!$E$2:$E$301="Mise à l'arrêt")*(Réserves!$J$2:$J$301&lt;&gt;"Levée")*(Réserves!$J$2:$J$301&lt;&gt;"")))&gt;0),"Arrêt : réserve à lever",IF($C166="","Type à choisir",IF($N166="","Périodicité à saisir",IF(OR(ISTEXT($U166),ISTEXT($R166)),"Date à corriger",IF(AND($E166="",$Q166="Location",$S166&lt;&gt;"Oui"),"Rapport loueur à obtenir",IF(NOT(ISNUMBER($G166)),"Vérif. initiale à tracer",IF($H166&lt;0,"En retard",IF(AND($Q166="Location",$S166&lt;&gt;"Oui"),"Rapport loueur à obtenir",IF($H166&lt;='Tableau de bord'!$C$4,"À planifier","À jour"))))))))))))</f>
      </c>
      <c r="J166" s="22">
        <f>IF($A166="","",COUNTIFS(Réserves!$B$2:$B$301,$A166,Réserves!$J$2:$J$301,"Ouverte")+COUNTIFS(Réserves!$B$2:$B$301,$A166,Réserves!$J$2:$J$301,"En retard"))</f>
      </c>
      <c r="K166" s="20">
        <f>IF($C166="","",IFERROR(INDEX('Référentiel'!$B$2:$B$83,MATCH($C166,'Référentiel'!$A$2:$A$83,0)),"Type hors liste"))</f>
      </c>
      <c r="L166" s="22">
        <f>IF($C166="","",IF(IFERROR(INDEX('Référentiel'!$C$2:$C$83,MATCH($C166,'Référentiel'!$A$2:$A$83,0)),0)=0,"",IFERROR(INDEX('Référentiel'!$C$2:$C$83,MATCH($C166,'Référentiel'!$A$2:$A$83,0)),0)))</f>
      </c>
      <c r="M166" s="23"/>
      <c r="N166" s="22">
        <f>IF($C166="","",IF(IF($M166&lt;&gt;"",IF($L166&lt;&gt;"",MIN($L166,$M166),$M166),IF($L166&lt;&gt;"",$L166,IF(IFERROR(INDEX('Référentiel'!$D$2:$D$83,MATCH($C166,'Référentiel'!$A$2:$A$83,0)),0)&gt;0,IFERROR(INDEX('Référentiel'!$D$2:$D$83,MATCH($C166,'Référentiel'!$A$2:$A$83,0)),0),"")))="","",IF(AND(IFERROR(INDEX('Référentiel'!$F$2:$F$83,MATCH($C166,'Référentiel'!$A$2:$A$83,0)),0)&gt;0,N($J166)&gt;0),MIN(IF($M166&lt;&gt;"",IF($L166&lt;&gt;"",MIN($L166,$M166),$M166),IF($L166&lt;&gt;"",$L166,IF(IFERROR(INDEX('Référentiel'!$D$2:$D$83,MATCH($C166,'Référentiel'!$A$2:$A$83,0)),0)&gt;0,IFERROR(INDEX('Référentiel'!$D$2:$D$83,MATCH($C166,'Référentiel'!$A$2:$A$83,0)),0),""))),IFERROR(INDEX('Référentiel'!$F$2:$F$83,MATCH($C166,'Référentiel'!$A$2:$A$83,0)),0)),IF($M166&lt;&gt;"",IF($L166&lt;&gt;"",MIN($L166,$M166),$M166),IF($L166&lt;&gt;"",$L166,IF(IFERROR(INDEX('Référentiel'!$D$2:$D$83,MATCH($C166,'Référentiel'!$A$2:$A$83,0)),0)&gt;0,IFERROR(INDEX('Référentiel'!$D$2:$D$83,MATCH($C166,'Référentiel'!$A$2:$A$83,0)),0),""))))))</f>
      </c>
      <c r="O166" s="9"/>
      <c r="P166" s="23"/>
      <c r="Q166" s="9"/>
      <c r="R166" s="24"/>
      <c r="S166" s="23"/>
      <c r="T166" s="23"/>
      <c r="U166" s="24"/>
      <c r="V166" s="20">
        <f>IF($C166="","",IFERROR(INDEX('Référentiel'!$K$2:$K$83,MATCH($C166,'Référentiel'!$A$2:$A$83,0)),""))</f>
      </c>
      <c r="W166" s="20">
        <f>IF(AND(ISNUMBER($G166),$I166&lt;&gt;"Hors service",$I166&lt;&gt;"Location terminée"),$G166+ROW()/100000,"")</f>
      </c>
      <c r="X166" s="9"/>
    </row>
    <row r="167" spans="1:24" x14ac:dyDescent="0.25">
      <c r="A167" s="9"/>
      <c r="B167" s="9"/>
      <c r="C167" s="9"/>
      <c r="D167" s="9"/>
      <c r="E167" s="19">
        <f>IF($A167="","",IF(SUMPRODUCT(MAX((Vérifications!$B$2:$B$1001=$A167)*Vérifications!$L$2:$L$1001))=0,"",SUMPRODUCT(MAX((Vérifications!$B$2:$B$1001=$A167)*Vérifications!$L$2:$L$1001))))</f>
      </c>
      <c r="F167" s="20">
        <f>IF($E167="","",IFERROR(INDEX(Vérifications!$E$2:$E$1001,MATCH($A167&amp;"|"&amp;$E167,Vérifications!$M$2:$M$1001,0)),""))</f>
      </c>
      <c r="G167" s="19">
        <f>IF($N167="","",IF(ISNUMBER($E167),EDATE($E167,$N167),IF(AND(ISNUMBER($U167),IFERROR(INDEX('Référentiel'!$E$2:$E$83,MATCH($C167,'Référentiel'!$A$2:$A$83,0)),0)&gt;0),EDATE($U167,IFERROR(INDEX('Référentiel'!$E$2:$E$83,MATCH($C167,'Référentiel'!$A$2:$A$83,0)),0)),"")))</f>
      </c>
      <c r="H167" s="21">
        <f>IF(ISNUMBER($G167),$G167-TODAY(),"")</f>
      </c>
      <c r="I167" s="20">
        <f>IF(AND($A167="",$C167=""),"",IF($T167="Non","Hors service",IF(AND($Q167="Location",ISNUMBER($R167),$R167&lt;TODAY()),"Location terminée",IF(OR($F167="Mise à l'arrêt",IF($A167="",0,SUMPRODUCT((Réserves!$B$2:$B$301=$A167)*(Réserves!$E$2:$E$301="Mise à l'arrêt")*(Réserves!$J$2:$J$301&lt;&gt;"Levée")*(Réserves!$J$2:$J$301&lt;&gt;"")))&gt;0),"Arrêt : réserve à lever",IF($C167="","Type à choisir",IF($N167="","Périodicité à saisir",IF(OR(ISTEXT($U167),ISTEXT($R167)),"Date à corriger",IF(AND($E167="",$Q167="Location",$S167&lt;&gt;"Oui"),"Rapport loueur à obtenir",IF(NOT(ISNUMBER($G167)),"Vérif. initiale à tracer",IF($H167&lt;0,"En retard",IF(AND($Q167="Location",$S167&lt;&gt;"Oui"),"Rapport loueur à obtenir",IF($H167&lt;='Tableau de bord'!$C$4,"À planifier","À jour"))))))))))))</f>
      </c>
      <c r="J167" s="22">
        <f>IF($A167="","",COUNTIFS(Réserves!$B$2:$B$301,$A167,Réserves!$J$2:$J$301,"Ouverte")+COUNTIFS(Réserves!$B$2:$B$301,$A167,Réserves!$J$2:$J$301,"En retard"))</f>
      </c>
      <c r="K167" s="20">
        <f>IF($C167="","",IFERROR(INDEX('Référentiel'!$B$2:$B$83,MATCH($C167,'Référentiel'!$A$2:$A$83,0)),"Type hors liste"))</f>
      </c>
      <c r="L167" s="22">
        <f>IF($C167="","",IF(IFERROR(INDEX('Référentiel'!$C$2:$C$83,MATCH($C167,'Référentiel'!$A$2:$A$83,0)),0)=0,"",IFERROR(INDEX('Référentiel'!$C$2:$C$83,MATCH($C167,'Référentiel'!$A$2:$A$83,0)),0)))</f>
      </c>
      <c r="M167" s="23"/>
      <c r="N167" s="22">
        <f>IF($C167="","",IF(IF($M167&lt;&gt;"",IF($L167&lt;&gt;"",MIN($L167,$M167),$M167),IF($L167&lt;&gt;"",$L167,IF(IFERROR(INDEX('Référentiel'!$D$2:$D$83,MATCH($C167,'Référentiel'!$A$2:$A$83,0)),0)&gt;0,IFERROR(INDEX('Référentiel'!$D$2:$D$83,MATCH($C167,'Référentiel'!$A$2:$A$83,0)),0),"")))="","",IF(AND(IFERROR(INDEX('Référentiel'!$F$2:$F$83,MATCH($C167,'Référentiel'!$A$2:$A$83,0)),0)&gt;0,N($J167)&gt;0),MIN(IF($M167&lt;&gt;"",IF($L167&lt;&gt;"",MIN($L167,$M167),$M167),IF($L167&lt;&gt;"",$L167,IF(IFERROR(INDEX('Référentiel'!$D$2:$D$83,MATCH($C167,'Référentiel'!$A$2:$A$83,0)),0)&gt;0,IFERROR(INDEX('Référentiel'!$D$2:$D$83,MATCH($C167,'Référentiel'!$A$2:$A$83,0)),0),""))),IFERROR(INDEX('Référentiel'!$F$2:$F$83,MATCH($C167,'Référentiel'!$A$2:$A$83,0)),0)),IF($M167&lt;&gt;"",IF($L167&lt;&gt;"",MIN($L167,$M167),$M167),IF($L167&lt;&gt;"",$L167,IF(IFERROR(INDEX('Référentiel'!$D$2:$D$83,MATCH($C167,'Référentiel'!$A$2:$A$83,0)),0)&gt;0,IFERROR(INDEX('Référentiel'!$D$2:$D$83,MATCH($C167,'Référentiel'!$A$2:$A$83,0)),0),""))))))</f>
      </c>
      <c r="O167" s="9"/>
      <c r="P167" s="23"/>
      <c r="Q167" s="9"/>
      <c r="R167" s="24"/>
      <c r="S167" s="23"/>
      <c r="T167" s="23"/>
      <c r="U167" s="24"/>
      <c r="V167" s="20">
        <f>IF($C167="","",IFERROR(INDEX('Référentiel'!$K$2:$K$83,MATCH($C167,'Référentiel'!$A$2:$A$83,0)),""))</f>
      </c>
      <c r="W167" s="20">
        <f>IF(AND(ISNUMBER($G167),$I167&lt;&gt;"Hors service",$I167&lt;&gt;"Location terminée"),$G167+ROW()/100000,"")</f>
      </c>
      <c r="X167" s="9"/>
    </row>
    <row r="168" spans="1:24" x14ac:dyDescent="0.25">
      <c r="A168" s="9"/>
      <c r="B168" s="9"/>
      <c r="C168" s="9"/>
      <c r="D168" s="9"/>
      <c r="E168" s="19">
        <f>IF($A168="","",IF(SUMPRODUCT(MAX((Vérifications!$B$2:$B$1001=$A168)*Vérifications!$L$2:$L$1001))=0,"",SUMPRODUCT(MAX((Vérifications!$B$2:$B$1001=$A168)*Vérifications!$L$2:$L$1001))))</f>
      </c>
      <c r="F168" s="20">
        <f>IF($E168="","",IFERROR(INDEX(Vérifications!$E$2:$E$1001,MATCH($A168&amp;"|"&amp;$E168,Vérifications!$M$2:$M$1001,0)),""))</f>
      </c>
      <c r="G168" s="19">
        <f>IF($N168="","",IF(ISNUMBER($E168),EDATE($E168,$N168),IF(AND(ISNUMBER($U168),IFERROR(INDEX('Référentiel'!$E$2:$E$83,MATCH($C168,'Référentiel'!$A$2:$A$83,0)),0)&gt;0),EDATE($U168,IFERROR(INDEX('Référentiel'!$E$2:$E$83,MATCH($C168,'Référentiel'!$A$2:$A$83,0)),0)),"")))</f>
      </c>
      <c r="H168" s="21">
        <f>IF(ISNUMBER($G168),$G168-TODAY(),"")</f>
      </c>
      <c r="I168" s="20">
        <f>IF(AND($A168="",$C168=""),"",IF($T168="Non","Hors service",IF(AND($Q168="Location",ISNUMBER($R168),$R168&lt;TODAY()),"Location terminée",IF(OR($F168="Mise à l'arrêt",IF($A168="",0,SUMPRODUCT((Réserves!$B$2:$B$301=$A168)*(Réserves!$E$2:$E$301="Mise à l'arrêt")*(Réserves!$J$2:$J$301&lt;&gt;"Levée")*(Réserves!$J$2:$J$301&lt;&gt;"")))&gt;0),"Arrêt : réserve à lever",IF($C168="","Type à choisir",IF($N168="","Périodicité à saisir",IF(OR(ISTEXT($U168),ISTEXT($R168)),"Date à corriger",IF(AND($E168="",$Q168="Location",$S168&lt;&gt;"Oui"),"Rapport loueur à obtenir",IF(NOT(ISNUMBER($G168)),"Vérif. initiale à tracer",IF($H168&lt;0,"En retard",IF(AND($Q168="Location",$S168&lt;&gt;"Oui"),"Rapport loueur à obtenir",IF($H168&lt;='Tableau de bord'!$C$4,"À planifier","À jour"))))))))))))</f>
      </c>
      <c r="J168" s="22">
        <f>IF($A168="","",COUNTIFS(Réserves!$B$2:$B$301,$A168,Réserves!$J$2:$J$301,"Ouverte")+COUNTIFS(Réserves!$B$2:$B$301,$A168,Réserves!$J$2:$J$301,"En retard"))</f>
      </c>
      <c r="K168" s="20">
        <f>IF($C168="","",IFERROR(INDEX('Référentiel'!$B$2:$B$83,MATCH($C168,'Référentiel'!$A$2:$A$83,0)),"Type hors liste"))</f>
      </c>
      <c r="L168" s="22">
        <f>IF($C168="","",IF(IFERROR(INDEX('Référentiel'!$C$2:$C$83,MATCH($C168,'Référentiel'!$A$2:$A$83,0)),0)=0,"",IFERROR(INDEX('Référentiel'!$C$2:$C$83,MATCH($C168,'Référentiel'!$A$2:$A$83,0)),0)))</f>
      </c>
      <c r="M168" s="23"/>
      <c r="N168" s="22">
        <f>IF($C168="","",IF(IF($M168&lt;&gt;"",IF($L168&lt;&gt;"",MIN($L168,$M168),$M168),IF($L168&lt;&gt;"",$L168,IF(IFERROR(INDEX('Référentiel'!$D$2:$D$83,MATCH($C168,'Référentiel'!$A$2:$A$83,0)),0)&gt;0,IFERROR(INDEX('Référentiel'!$D$2:$D$83,MATCH($C168,'Référentiel'!$A$2:$A$83,0)),0),"")))="","",IF(AND(IFERROR(INDEX('Référentiel'!$F$2:$F$83,MATCH($C168,'Référentiel'!$A$2:$A$83,0)),0)&gt;0,N($J168)&gt;0),MIN(IF($M168&lt;&gt;"",IF($L168&lt;&gt;"",MIN($L168,$M168),$M168),IF($L168&lt;&gt;"",$L168,IF(IFERROR(INDEX('Référentiel'!$D$2:$D$83,MATCH($C168,'Référentiel'!$A$2:$A$83,0)),0)&gt;0,IFERROR(INDEX('Référentiel'!$D$2:$D$83,MATCH($C168,'Référentiel'!$A$2:$A$83,0)),0),""))),IFERROR(INDEX('Référentiel'!$F$2:$F$83,MATCH($C168,'Référentiel'!$A$2:$A$83,0)),0)),IF($M168&lt;&gt;"",IF($L168&lt;&gt;"",MIN($L168,$M168),$M168),IF($L168&lt;&gt;"",$L168,IF(IFERROR(INDEX('Référentiel'!$D$2:$D$83,MATCH($C168,'Référentiel'!$A$2:$A$83,0)),0)&gt;0,IFERROR(INDEX('Référentiel'!$D$2:$D$83,MATCH($C168,'Référentiel'!$A$2:$A$83,0)),0),""))))))</f>
      </c>
      <c r="O168" s="9"/>
      <c r="P168" s="23"/>
      <c r="Q168" s="9"/>
      <c r="R168" s="24"/>
      <c r="S168" s="23"/>
      <c r="T168" s="23"/>
      <c r="U168" s="24"/>
      <c r="V168" s="20">
        <f>IF($C168="","",IFERROR(INDEX('Référentiel'!$K$2:$K$83,MATCH($C168,'Référentiel'!$A$2:$A$83,0)),""))</f>
      </c>
      <c r="W168" s="20">
        <f>IF(AND(ISNUMBER($G168),$I168&lt;&gt;"Hors service",$I168&lt;&gt;"Location terminée"),$G168+ROW()/100000,"")</f>
      </c>
      <c r="X168" s="9"/>
    </row>
    <row r="169" spans="1:24" x14ac:dyDescent="0.25">
      <c r="A169" s="9"/>
      <c r="B169" s="9"/>
      <c r="C169" s="9"/>
      <c r="D169" s="9"/>
      <c r="E169" s="19">
        <f>IF($A169="","",IF(SUMPRODUCT(MAX((Vérifications!$B$2:$B$1001=$A169)*Vérifications!$L$2:$L$1001))=0,"",SUMPRODUCT(MAX((Vérifications!$B$2:$B$1001=$A169)*Vérifications!$L$2:$L$1001))))</f>
      </c>
      <c r="F169" s="20">
        <f>IF($E169="","",IFERROR(INDEX(Vérifications!$E$2:$E$1001,MATCH($A169&amp;"|"&amp;$E169,Vérifications!$M$2:$M$1001,0)),""))</f>
      </c>
      <c r="G169" s="19">
        <f>IF($N169="","",IF(ISNUMBER($E169),EDATE($E169,$N169),IF(AND(ISNUMBER($U169),IFERROR(INDEX('Référentiel'!$E$2:$E$83,MATCH($C169,'Référentiel'!$A$2:$A$83,0)),0)&gt;0),EDATE($U169,IFERROR(INDEX('Référentiel'!$E$2:$E$83,MATCH($C169,'Référentiel'!$A$2:$A$83,0)),0)),"")))</f>
      </c>
      <c r="H169" s="21">
        <f>IF(ISNUMBER($G169),$G169-TODAY(),"")</f>
      </c>
      <c r="I169" s="20">
        <f>IF(AND($A169="",$C169=""),"",IF($T169="Non","Hors service",IF(AND($Q169="Location",ISNUMBER($R169),$R169&lt;TODAY()),"Location terminée",IF(OR($F169="Mise à l'arrêt",IF($A169="",0,SUMPRODUCT((Réserves!$B$2:$B$301=$A169)*(Réserves!$E$2:$E$301="Mise à l'arrêt")*(Réserves!$J$2:$J$301&lt;&gt;"Levée")*(Réserves!$J$2:$J$301&lt;&gt;"")))&gt;0),"Arrêt : réserve à lever",IF($C169="","Type à choisir",IF($N169="","Périodicité à saisir",IF(OR(ISTEXT($U169),ISTEXT($R169)),"Date à corriger",IF(AND($E169="",$Q169="Location",$S169&lt;&gt;"Oui"),"Rapport loueur à obtenir",IF(NOT(ISNUMBER($G169)),"Vérif. initiale à tracer",IF($H169&lt;0,"En retard",IF(AND($Q169="Location",$S169&lt;&gt;"Oui"),"Rapport loueur à obtenir",IF($H169&lt;='Tableau de bord'!$C$4,"À planifier","À jour"))))))))))))</f>
      </c>
      <c r="J169" s="22">
        <f>IF($A169="","",COUNTIFS(Réserves!$B$2:$B$301,$A169,Réserves!$J$2:$J$301,"Ouverte")+COUNTIFS(Réserves!$B$2:$B$301,$A169,Réserves!$J$2:$J$301,"En retard"))</f>
      </c>
      <c r="K169" s="20">
        <f>IF($C169="","",IFERROR(INDEX('Référentiel'!$B$2:$B$83,MATCH($C169,'Référentiel'!$A$2:$A$83,0)),"Type hors liste"))</f>
      </c>
      <c r="L169" s="22">
        <f>IF($C169="","",IF(IFERROR(INDEX('Référentiel'!$C$2:$C$83,MATCH($C169,'Référentiel'!$A$2:$A$83,0)),0)=0,"",IFERROR(INDEX('Référentiel'!$C$2:$C$83,MATCH($C169,'Référentiel'!$A$2:$A$83,0)),0)))</f>
      </c>
      <c r="M169" s="23"/>
      <c r="N169" s="22">
        <f>IF($C169="","",IF(IF($M169&lt;&gt;"",IF($L169&lt;&gt;"",MIN($L169,$M169),$M169),IF($L169&lt;&gt;"",$L169,IF(IFERROR(INDEX('Référentiel'!$D$2:$D$83,MATCH($C169,'Référentiel'!$A$2:$A$83,0)),0)&gt;0,IFERROR(INDEX('Référentiel'!$D$2:$D$83,MATCH($C169,'Référentiel'!$A$2:$A$83,0)),0),"")))="","",IF(AND(IFERROR(INDEX('Référentiel'!$F$2:$F$83,MATCH($C169,'Référentiel'!$A$2:$A$83,0)),0)&gt;0,N($J169)&gt;0),MIN(IF($M169&lt;&gt;"",IF($L169&lt;&gt;"",MIN($L169,$M169),$M169),IF($L169&lt;&gt;"",$L169,IF(IFERROR(INDEX('Référentiel'!$D$2:$D$83,MATCH($C169,'Référentiel'!$A$2:$A$83,0)),0)&gt;0,IFERROR(INDEX('Référentiel'!$D$2:$D$83,MATCH($C169,'Référentiel'!$A$2:$A$83,0)),0),""))),IFERROR(INDEX('Référentiel'!$F$2:$F$83,MATCH($C169,'Référentiel'!$A$2:$A$83,0)),0)),IF($M169&lt;&gt;"",IF($L169&lt;&gt;"",MIN($L169,$M169),$M169),IF($L169&lt;&gt;"",$L169,IF(IFERROR(INDEX('Référentiel'!$D$2:$D$83,MATCH($C169,'Référentiel'!$A$2:$A$83,0)),0)&gt;0,IFERROR(INDEX('Référentiel'!$D$2:$D$83,MATCH($C169,'Référentiel'!$A$2:$A$83,0)),0),""))))))</f>
      </c>
      <c r="O169" s="9"/>
      <c r="P169" s="23"/>
      <c r="Q169" s="9"/>
      <c r="R169" s="24"/>
      <c r="S169" s="23"/>
      <c r="T169" s="23"/>
      <c r="U169" s="24"/>
      <c r="V169" s="20">
        <f>IF($C169="","",IFERROR(INDEX('Référentiel'!$K$2:$K$83,MATCH($C169,'Référentiel'!$A$2:$A$83,0)),""))</f>
      </c>
      <c r="W169" s="20">
        <f>IF(AND(ISNUMBER($G169),$I169&lt;&gt;"Hors service",$I169&lt;&gt;"Location terminée"),$G169+ROW()/100000,"")</f>
      </c>
      <c r="X169" s="9"/>
    </row>
    <row r="170" spans="1:24" x14ac:dyDescent="0.25">
      <c r="A170" s="9"/>
      <c r="B170" s="9"/>
      <c r="C170" s="9"/>
      <c r="D170" s="9"/>
      <c r="E170" s="19">
        <f>IF($A170="","",IF(SUMPRODUCT(MAX((Vérifications!$B$2:$B$1001=$A170)*Vérifications!$L$2:$L$1001))=0,"",SUMPRODUCT(MAX((Vérifications!$B$2:$B$1001=$A170)*Vérifications!$L$2:$L$1001))))</f>
      </c>
      <c r="F170" s="20">
        <f>IF($E170="","",IFERROR(INDEX(Vérifications!$E$2:$E$1001,MATCH($A170&amp;"|"&amp;$E170,Vérifications!$M$2:$M$1001,0)),""))</f>
      </c>
      <c r="G170" s="19">
        <f>IF($N170="","",IF(ISNUMBER($E170),EDATE($E170,$N170),IF(AND(ISNUMBER($U170),IFERROR(INDEX('Référentiel'!$E$2:$E$83,MATCH($C170,'Référentiel'!$A$2:$A$83,0)),0)&gt;0),EDATE($U170,IFERROR(INDEX('Référentiel'!$E$2:$E$83,MATCH($C170,'Référentiel'!$A$2:$A$83,0)),0)),"")))</f>
      </c>
      <c r="H170" s="21">
        <f>IF(ISNUMBER($G170),$G170-TODAY(),"")</f>
      </c>
      <c r="I170" s="20">
        <f>IF(AND($A170="",$C170=""),"",IF($T170="Non","Hors service",IF(AND($Q170="Location",ISNUMBER($R170),$R170&lt;TODAY()),"Location terminée",IF(OR($F170="Mise à l'arrêt",IF($A170="",0,SUMPRODUCT((Réserves!$B$2:$B$301=$A170)*(Réserves!$E$2:$E$301="Mise à l'arrêt")*(Réserves!$J$2:$J$301&lt;&gt;"Levée")*(Réserves!$J$2:$J$301&lt;&gt;"")))&gt;0),"Arrêt : réserve à lever",IF($C170="","Type à choisir",IF($N170="","Périodicité à saisir",IF(OR(ISTEXT($U170),ISTEXT($R170)),"Date à corriger",IF(AND($E170="",$Q170="Location",$S170&lt;&gt;"Oui"),"Rapport loueur à obtenir",IF(NOT(ISNUMBER($G170)),"Vérif. initiale à tracer",IF($H170&lt;0,"En retard",IF(AND($Q170="Location",$S170&lt;&gt;"Oui"),"Rapport loueur à obtenir",IF($H170&lt;='Tableau de bord'!$C$4,"À planifier","À jour"))))))))))))</f>
      </c>
      <c r="J170" s="22">
        <f>IF($A170="","",COUNTIFS(Réserves!$B$2:$B$301,$A170,Réserves!$J$2:$J$301,"Ouverte")+COUNTIFS(Réserves!$B$2:$B$301,$A170,Réserves!$J$2:$J$301,"En retard"))</f>
      </c>
      <c r="K170" s="20">
        <f>IF($C170="","",IFERROR(INDEX('Référentiel'!$B$2:$B$83,MATCH($C170,'Référentiel'!$A$2:$A$83,0)),"Type hors liste"))</f>
      </c>
      <c r="L170" s="22">
        <f>IF($C170="","",IF(IFERROR(INDEX('Référentiel'!$C$2:$C$83,MATCH($C170,'Référentiel'!$A$2:$A$83,0)),0)=0,"",IFERROR(INDEX('Référentiel'!$C$2:$C$83,MATCH($C170,'Référentiel'!$A$2:$A$83,0)),0)))</f>
      </c>
      <c r="M170" s="23"/>
      <c r="N170" s="22">
        <f>IF($C170="","",IF(IF($M170&lt;&gt;"",IF($L170&lt;&gt;"",MIN($L170,$M170),$M170),IF($L170&lt;&gt;"",$L170,IF(IFERROR(INDEX('Référentiel'!$D$2:$D$83,MATCH($C170,'Référentiel'!$A$2:$A$83,0)),0)&gt;0,IFERROR(INDEX('Référentiel'!$D$2:$D$83,MATCH($C170,'Référentiel'!$A$2:$A$83,0)),0),"")))="","",IF(AND(IFERROR(INDEX('Référentiel'!$F$2:$F$83,MATCH($C170,'Référentiel'!$A$2:$A$83,0)),0)&gt;0,N($J170)&gt;0),MIN(IF($M170&lt;&gt;"",IF($L170&lt;&gt;"",MIN($L170,$M170),$M170),IF($L170&lt;&gt;"",$L170,IF(IFERROR(INDEX('Référentiel'!$D$2:$D$83,MATCH($C170,'Référentiel'!$A$2:$A$83,0)),0)&gt;0,IFERROR(INDEX('Référentiel'!$D$2:$D$83,MATCH($C170,'Référentiel'!$A$2:$A$83,0)),0),""))),IFERROR(INDEX('Référentiel'!$F$2:$F$83,MATCH($C170,'Référentiel'!$A$2:$A$83,0)),0)),IF($M170&lt;&gt;"",IF($L170&lt;&gt;"",MIN($L170,$M170),$M170),IF($L170&lt;&gt;"",$L170,IF(IFERROR(INDEX('Référentiel'!$D$2:$D$83,MATCH($C170,'Référentiel'!$A$2:$A$83,0)),0)&gt;0,IFERROR(INDEX('Référentiel'!$D$2:$D$83,MATCH($C170,'Référentiel'!$A$2:$A$83,0)),0),""))))))</f>
      </c>
      <c r="O170" s="9"/>
      <c r="P170" s="23"/>
      <c r="Q170" s="9"/>
      <c r="R170" s="24"/>
      <c r="S170" s="23"/>
      <c r="T170" s="23"/>
      <c r="U170" s="24"/>
      <c r="V170" s="20">
        <f>IF($C170="","",IFERROR(INDEX('Référentiel'!$K$2:$K$83,MATCH($C170,'Référentiel'!$A$2:$A$83,0)),""))</f>
      </c>
      <c r="W170" s="20">
        <f>IF(AND(ISNUMBER($G170),$I170&lt;&gt;"Hors service",$I170&lt;&gt;"Location terminée"),$G170+ROW()/100000,"")</f>
      </c>
      <c r="X170" s="9"/>
    </row>
    <row r="171" spans="1:24" x14ac:dyDescent="0.25">
      <c r="A171" s="9"/>
      <c r="B171" s="9"/>
      <c r="C171" s="9"/>
      <c r="D171" s="9"/>
      <c r="E171" s="19">
        <f>IF($A171="","",IF(SUMPRODUCT(MAX((Vérifications!$B$2:$B$1001=$A171)*Vérifications!$L$2:$L$1001))=0,"",SUMPRODUCT(MAX((Vérifications!$B$2:$B$1001=$A171)*Vérifications!$L$2:$L$1001))))</f>
      </c>
      <c r="F171" s="20">
        <f>IF($E171="","",IFERROR(INDEX(Vérifications!$E$2:$E$1001,MATCH($A171&amp;"|"&amp;$E171,Vérifications!$M$2:$M$1001,0)),""))</f>
      </c>
      <c r="G171" s="19">
        <f>IF($N171="","",IF(ISNUMBER($E171),EDATE($E171,$N171),IF(AND(ISNUMBER($U171),IFERROR(INDEX('Référentiel'!$E$2:$E$83,MATCH($C171,'Référentiel'!$A$2:$A$83,0)),0)&gt;0),EDATE($U171,IFERROR(INDEX('Référentiel'!$E$2:$E$83,MATCH($C171,'Référentiel'!$A$2:$A$83,0)),0)),"")))</f>
      </c>
      <c r="H171" s="21">
        <f>IF(ISNUMBER($G171),$G171-TODAY(),"")</f>
      </c>
      <c r="I171" s="20">
        <f>IF(AND($A171="",$C171=""),"",IF($T171="Non","Hors service",IF(AND($Q171="Location",ISNUMBER($R171),$R171&lt;TODAY()),"Location terminée",IF(OR($F171="Mise à l'arrêt",IF($A171="",0,SUMPRODUCT((Réserves!$B$2:$B$301=$A171)*(Réserves!$E$2:$E$301="Mise à l'arrêt")*(Réserves!$J$2:$J$301&lt;&gt;"Levée")*(Réserves!$J$2:$J$301&lt;&gt;"")))&gt;0),"Arrêt : réserve à lever",IF($C171="","Type à choisir",IF($N171="","Périodicité à saisir",IF(OR(ISTEXT($U171),ISTEXT($R171)),"Date à corriger",IF(AND($E171="",$Q171="Location",$S171&lt;&gt;"Oui"),"Rapport loueur à obtenir",IF(NOT(ISNUMBER($G171)),"Vérif. initiale à tracer",IF($H171&lt;0,"En retard",IF(AND($Q171="Location",$S171&lt;&gt;"Oui"),"Rapport loueur à obtenir",IF($H171&lt;='Tableau de bord'!$C$4,"À planifier","À jour"))))))))))))</f>
      </c>
      <c r="J171" s="22">
        <f>IF($A171="","",COUNTIFS(Réserves!$B$2:$B$301,$A171,Réserves!$J$2:$J$301,"Ouverte")+COUNTIFS(Réserves!$B$2:$B$301,$A171,Réserves!$J$2:$J$301,"En retard"))</f>
      </c>
      <c r="K171" s="20">
        <f>IF($C171="","",IFERROR(INDEX('Référentiel'!$B$2:$B$83,MATCH($C171,'Référentiel'!$A$2:$A$83,0)),"Type hors liste"))</f>
      </c>
      <c r="L171" s="22">
        <f>IF($C171="","",IF(IFERROR(INDEX('Référentiel'!$C$2:$C$83,MATCH($C171,'Référentiel'!$A$2:$A$83,0)),0)=0,"",IFERROR(INDEX('Référentiel'!$C$2:$C$83,MATCH($C171,'Référentiel'!$A$2:$A$83,0)),0)))</f>
      </c>
      <c r="M171" s="23"/>
      <c r="N171" s="22">
        <f>IF($C171="","",IF(IF($M171&lt;&gt;"",IF($L171&lt;&gt;"",MIN($L171,$M171),$M171),IF($L171&lt;&gt;"",$L171,IF(IFERROR(INDEX('Référentiel'!$D$2:$D$83,MATCH($C171,'Référentiel'!$A$2:$A$83,0)),0)&gt;0,IFERROR(INDEX('Référentiel'!$D$2:$D$83,MATCH($C171,'Référentiel'!$A$2:$A$83,0)),0),"")))="","",IF(AND(IFERROR(INDEX('Référentiel'!$F$2:$F$83,MATCH($C171,'Référentiel'!$A$2:$A$83,0)),0)&gt;0,N($J171)&gt;0),MIN(IF($M171&lt;&gt;"",IF($L171&lt;&gt;"",MIN($L171,$M171),$M171),IF($L171&lt;&gt;"",$L171,IF(IFERROR(INDEX('Référentiel'!$D$2:$D$83,MATCH($C171,'Référentiel'!$A$2:$A$83,0)),0)&gt;0,IFERROR(INDEX('Référentiel'!$D$2:$D$83,MATCH($C171,'Référentiel'!$A$2:$A$83,0)),0),""))),IFERROR(INDEX('Référentiel'!$F$2:$F$83,MATCH($C171,'Référentiel'!$A$2:$A$83,0)),0)),IF($M171&lt;&gt;"",IF($L171&lt;&gt;"",MIN($L171,$M171),$M171),IF($L171&lt;&gt;"",$L171,IF(IFERROR(INDEX('Référentiel'!$D$2:$D$83,MATCH($C171,'Référentiel'!$A$2:$A$83,0)),0)&gt;0,IFERROR(INDEX('Référentiel'!$D$2:$D$83,MATCH($C171,'Référentiel'!$A$2:$A$83,0)),0),""))))))</f>
      </c>
      <c r="O171" s="9"/>
      <c r="P171" s="23"/>
      <c r="Q171" s="9"/>
      <c r="R171" s="24"/>
      <c r="S171" s="23"/>
      <c r="T171" s="23"/>
      <c r="U171" s="24"/>
      <c r="V171" s="20">
        <f>IF($C171="","",IFERROR(INDEX('Référentiel'!$K$2:$K$83,MATCH($C171,'Référentiel'!$A$2:$A$83,0)),""))</f>
      </c>
      <c r="W171" s="20">
        <f>IF(AND(ISNUMBER($G171),$I171&lt;&gt;"Hors service",$I171&lt;&gt;"Location terminée"),$G171+ROW()/100000,"")</f>
      </c>
      <c r="X171" s="9"/>
    </row>
    <row r="172" spans="1:24" x14ac:dyDescent="0.25">
      <c r="A172" s="9"/>
      <c r="B172" s="9"/>
      <c r="C172" s="9"/>
      <c r="D172" s="9"/>
      <c r="E172" s="19">
        <f>IF($A172="","",IF(SUMPRODUCT(MAX((Vérifications!$B$2:$B$1001=$A172)*Vérifications!$L$2:$L$1001))=0,"",SUMPRODUCT(MAX((Vérifications!$B$2:$B$1001=$A172)*Vérifications!$L$2:$L$1001))))</f>
      </c>
      <c r="F172" s="20">
        <f>IF($E172="","",IFERROR(INDEX(Vérifications!$E$2:$E$1001,MATCH($A172&amp;"|"&amp;$E172,Vérifications!$M$2:$M$1001,0)),""))</f>
      </c>
      <c r="G172" s="19">
        <f>IF($N172="","",IF(ISNUMBER($E172),EDATE($E172,$N172),IF(AND(ISNUMBER($U172),IFERROR(INDEX('Référentiel'!$E$2:$E$83,MATCH($C172,'Référentiel'!$A$2:$A$83,0)),0)&gt;0),EDATE($U172,IFERROR(INDEX('Référentiel'!$E$2:$E$83,MATCH($C172,'Référentiel'!$A$2:$A$83,0)),0)),"")))</f>
      </c>
      <c r="H172" s="21">
        <f>IF(ISNUMBER($G172),$G172-TODAY(),"")</f>
      </c>
      <c r="I172" s="20">
        <f>IF(AND($A172="",$C172=""),"",IF($T172="Non","Hors service",IF(AND($Q172="Location",ISNUMBER($R172),$R172&lt;TODAY()),"Location terminée",IF(OR($F172="Mise à l'arrêt",IF($A172="",0,SUMPRODUCT((Réserves!$B$2:$B$301=$A172)*(Réserves!$E$2:$E$301="Mise à l'arrêt")*(Réserves!$J$2:$J$301&lt;&gt;"Levée")*(Réserves!$J$2:$J$301&lt;&gt;"")))&gt;0),"Arrêt : réserve à lever",IF($C172="","Type à choisir",IF($N172="","Périodicité à saisir",IF(OR(ISTEXT($U172),ISTEXT($R172)),"Date à corriger",IF(AND($E172="",$Q172="Location",$S172&lt;&gt;"Oui"),"Rapport loueur à obtenir",IF(NOT(ISNUMBER($G172)),"Vérif. initiale à tracer",IF($H172&lt;0,"En retard",IF(AND($Q172="Location",$S172&lt;&gt;"Oui"),"Rapport loueur à obtenir",IF($H172&lt;='Tableau de bord'!$C$4,"À planifier","À jour"))))))))))))</f>
      </c>
      <c r="J172" s="22">
        <f>IF($A172="","",COUNTIFS(Réserves!$B$2:$B$301,$A172,Réserves!$J$2:$J$301,"Ouverte")+COUNTIFS(Réserves!$B$2:$B$301,$A172,Réserves!$J$2:$J$301,"En retard"))</f>
      </c>
      <c r="K172" s="20">
        <f>IF($C172="","",IFERROR(INDEX('Référentiel'!$B$2:$B$83,MATCH($C172,'Référentiel'!$A$2:$A$83,0)),"Type hors liste"))</f>
      </c>
      <c r="L172" s="22">
        <f>IF($C172="","",IF(IFERROR(INDEX('Référentiel'!$C$2:$C$83,MATCH($C172,'Référentiel'!$A$2:$A$83,0)),0)=0,"",IFERROR(INDEX('Référentiel'!$C$2:$C$83,MATCH($C172,'Référentiel'!$A$2:$A$83,0)),0)))</f>
      </c>
      <c r="M172" s="23"/>
      <c r="N172" s="22">
        <f>IF($C172="","",IF(IF($M172&lt;&gt;"",IF($L172&lt;&gt;"",MIN($L172,$M172),$M172),IF($L172&lt;&gt;"",$L172,IF(IFERROR(INDEX('Référentiel'!$D$2:$D$83,MATCH($C172,'Référentiel'!$A$2:$A$83,0)),0)&gt;0,IFERROR(INDEX('Référentiel'!$D$2:$D$83,MATCH($C172,'Référentiel'!$A$2:$A$83,0)),0),"")))="","",IF(AND(IFERROR(INDEX('Référentiel'!$F$2:$F$83,MATCH($C172,'Référentiel'!$A$2:$A$83,0)),0)&gt;0,N($J172)&gt;0),MIN(IF($M172&lt;&gt;"",IF($L172&lt;&gt;"",MIN($L172,$M172),$M172),IF($L172&lt;&gt;"",$L172,IF(IFERROR(INDEX('Référentiel'!$D$2:$D$83,MATCH($C172,'Référentiel'!$A$2:$A$83,0)),0)&gt;0,IFERROR(INDEX('Référentiel'!$D$2:$D$83,MATCH($C172,'Référentiel'!$A$2:$A$83,0)),0),""))),IFERROR(INDEX('Référentiel'!$F$2:$F$83,MATCH($C172,'Référentiel'!$A$2:$A$83,0)),0)),IF($M172&lt;&gt;"",IF($L172&lt;&gt;"",MIN($L172,$M172),$M172),IF($L172&lt;&gt;"",$L172,IF(IFERROR(INDEX('Référentiel'!$D$2:$D$83,MATCH($C172,'Référentiel'!$A$2:$A$83,0)),0)&gt;0,IFERROR(INDEX('Référentiel'!$D$2:$D$83,MATCH($C172,'Référentiel'!$A$2:$A$83,0)),0),""))))))</f>
      </c>
      <c r="O172" s="9"/>
      <c r="P172" s="23"/>
      <c r="Q172" s="9"/>
      <c r="R172" s="24"/>
      <c r="S172" s="23"/>
      <c r="T172" s="23"/>
      <c r="U172" s="24"/>
      <c r="V172" s="20">
        <f>IF($C172="","",IFERROR(INDEX('Référentiel'!$K$2:$K$83,MATCH($C172,'Référentiel'!$A$2:$A$83,0)),""))</f>
      </c>
      <c r="W172" s="20">
        <f>IF(AND(ISNUMBER($G172),$I172&lt;&gt;"Hors service",$I172&lt;&gt;"Location terminée"),$G172+ROW()/100000,"")</f>
      </c>
      <c r="X172" s="9"/>
    </row>
    <row r="173" spans="1:24" x14ac:dyDescent="0.25">
      <c r="A173" s="9"/>
      <c r="B173" s="9"/>
      <c r="C173" s="9"/>
      <c r="D173" s="9"/>
      <c r="E173" s="19">
        <f>IF($A173="","",IF(SUMPRODUCT(MAX((Vérifications!$B$2:$B$1001=$A173)*Vérifications!$L$2:$L$1001))=0,"",SUMPRODUCT(MAX((Vérifications!$B$2:$B$1001=$A173)*Vérifications!$L$2:$L$1001))))</f>
      </c>
      <c r="F173" s="20">
        <f>IF($E173="","",IFERROR(INDEX(Vérifications!$E$2:$E$1001,MATCH($A173&amp;"|"&amp;$E173,Vérifications!$M$2:$M$1001,0)),""))</f>
      </c>
      <c r="G173" s="19">
        <f>IF($N173="","",IF(ISNUMBER($E173),EDATE($E173,$N173),IF(AND(ISNUMBER($U173),IFERROR(INDEX('Référentiel'!$E$2:$E$83,MATCH($C173,'Référentiel'!$A$2:$A$83,0)),0)&gt;0),EDATE($U173,IFERROR(INDEX('Référentiel'!$E$2:$E$83,MATCH($C173,'Référentiel'!$A$2:$A$83,0)),0)),"")))</f>
      </c>
      <c r="H173" s="21">
        <f>IF(ISNUMBER($G173),$G173-TODAY(),"")</f>
      </c>
      <c r="I173" s="20">
        <f>IF(AND($A173="",$C173=""),"",IF($T173="Non","Hors service",IF(AND($Q173="Location",ISNUMBER($R173),$R173&lt;TODAY()),"Location terminée",IF(OR($F173="Mise à l'arrêt",IF($A173="",0,SUMPRODUCT((Réserves!$B$2:$B$301=$A173)*(Réserves!$E$2:$E$301="Mise à l'arrêt")*(Réserves!$J$2:$J$301&lt;&gt;"Levée")*(Réserves!$J$2:$J$301&lt;&gt;"")))&gt;0),"Arrêt : réserve à lever",IF($C173="","Type à choisir",IF($N173="","Périodicité à saisir",IF(OR(ISTEXT($U173),ISTEXT($R173)),"Date à corriger",IF(AND($E173="",$Q173="Location",$S173&lt;&gt;"Oui"),"Rapport loueur à obtenir",IF(NOT(ISNUMBER($G173)),"Vérif. initiale à tracer",IF($H173&lt;0,"En retard",IF(AND($Q173="Location",$S173&lt;&gt;"Oui"),"Rapport loueur à obtenir",IF($H173&lt;='Tableau de bord'!$C$4,"À planifier","À jour"))))))))))))</f>
      </c>
      <c r="J173" s="22">
        <f>IF($A173="","",COUNTIFS(Réserves!$B$2:$B$301,$A173,Réserves!$J$2:$J$301,"Ouverte")+COUNTIFS(Réserves!$B$2:$B$301,$A173,Réserves!$J$2:$J$301,"En retard"))</f>
      </c>
      <c r="K173" s="20">
        <f>IF($C173="","",IFERROR(INDEX('Référentiel'!$B$2:$B$83,MATCH($C173,'Référentiel'!$A$2:$A$83,0)),"Type hors liste"))</f>
      </c>
      <c r="L173" s="22">
        <f>IF($C173="","",IF(IFERROR(INDEX('Référentiel'!$C$2:$C$83,MATCH($C173,'Référentiel'!$A$2:$A$83,0)),0)=0,"",IFERROR(INDEX('Référentiel'!$C$2:$C$83,MATCH($C173,'Référentiel'!$A$2:$A$83,0)),0)))</f>
      </c>
      <c r="M173" s="23"/>
      <c r="N173" s="22">
        <f>IF($C173="","",IF(IF($M173&lt;&gt;"",IF($L173&lt;&gt;"",MIN($L173,$M173),$M173),IF($L173&lt;&gt;"",$L173,IF(IFERROR(INDEX('Référentiel'!$D$2:$D$83,MATCH($C173,'Référentiel'!$A$2:$A$83,0)),0)&gt;0,IFERROR(INDEX('Référentiel'!$D$2:$D$83,MATCH($C173,'Référentiel'!$A$2:$A$83,0)),0),"")))="","",IF(AND(IFERROR(INDEX('Référentiel'!$F$2:$F$83,MATCH($C173,'Référentiel'!$A$2:$A$83,0)),0)&gt;0,N($J173)&gt;0),MIN(IF($M173&lt;&gt;"",IF($L173&lt;&gt;"",MIN($L173,$M173),$M173),IF($L173&lt;&gt;"",$L173,IF(IFERROR(INDEX('Référentiel'!$D$2:$D$83,MATCH($C173,'Référentiel'!$A$2:$A$83,0)),0)&gt;0,IFERROR(INDEX('Référentiel'!$D$2:$D$83,MATCH($C173,'Référentiel'!$A$2:$A$83,0)),0),""))),IFERROR(INDEX('Référentiel'!$F$2:$F$83,MATCH($C173,'Référentiel'!$A$2:$A$83,0)),0)),IF($M173&lt;&gt;"",IF($L173&lt;&gt;"",MIN($L173,$M173),$M173),IF($L173&lt;&gt;"",$L173,IF(IFERROR(INDEX('Référentiel'!$D$2:$D$83,MATCH($C173,'Référentiel'!$A$2:$A$83,0)),0)&gt;0,IFERROR(INDEX('Référentiel'!$D$2:$D$83,MATCH($C173,'Référentiel'!$A$2:$A$83,0)),0),""))))))</f>
      </c>
      <c r="O173" s="9"/>
      <c r="P173" s="23"/>
      <c r="Q173" s="9"/>
      <c r="R173" s="24"/>
      <c r="S173" s="23"/>
      <c r="T173" s="23"/>
      <c r="U173" s="24"/>
      <c r="V173" s="20">
        <f>IF($C173="","",IFERROR(INDEX('Référentiel'!$K$2:$K$83,MATCH($C173,'Référentiel'!$A$2:$A$83,0)),""))</f>
      </c>
      <c r="W173" s="20">
        <f>IF(AND(ISNUMBER($G173),$I173&lt;&gt;"Hors service",$I173&lt;&gt;"Location terminée"),$G173+ROW()/100000,"")</f>
      </c>
      <c r="X173" s="9"/>
    </row>
    <row r="174" spans="1:24" x14ac:dyDescent="0.25">
      <c r="A174" s="9"/>
      <c r="B174" s="9"/>
      <c r="C174" s="9"/>
      <c r="D174" s="9"/>
      <c r="E174" s="19">
        <f>IF($A174="","",IF(SUMPRODUCT(MAX((Vérifications!$B$2:$B$1001=$A174)*Vérifications!$L$2:$L$1001))=0,"",SUMPRODUCT(MAX((Vérifications!$B$2:$B$1001=$A174)*Vérifications!$L$2:$L$1001))))</f>
      </c>
      <c r="F174" s="20">
        <f>IF($E174="","",IFERROR(INDEX(Vérifications!$E$2:$E$1001,MATCH($A174&amp;"|"&amp;$E174,Vérifications!$M$2:$M$1001,0)),""))</f>
      </c>
      <c r="G174" s="19">
        <f>IF($N174="","",IF(ISNUMBER($E174),EDATE($E174,$N174),IF(AND(ISNUMBER($U174),IFERROR(INDEX('Référentiel'!$E$2:$E$83,MATCH($C174,'Référentiel'!$A$2:$A$83,0)),0)&gt;0),EDATE($U174,IFERROR(INDEX('Référentiel'!$E$2:$E$83,MATCH($C174,'Référentiel'!$A$2:$A$83,0)),0)),"")))</f>
      </c>
      <c r="H174" s="21">
        <f>IF(ISNUMBER($G174),$G174-TODAY(),"")</f>
      </c>
      <c r="I174" s="20">
        <f>IF(AND($A174="",$C174=""),"",IF($T174="Non","Hors service",IF(AND($Q174="Location",ISNUMBER($R174),$R174&lt;TODAY()),"Location terminée",IF(OR($F174="Mise à l'arrêt",IF($A174="",0,SUMPRODUCT((Réserves!$B$2:$B$301=$A174)*(Réserves!$E$2:$E$301="Mise à l'arrêt")*(Réserves!$J$2:$J$301&lt;&gt;"Levée")*(Réserves!$J$2:$J$301&lt;&gt;"")))&gt;0),"Arrêt : réserve à lever",IF($C174="","Type à choisir",IF($N174="","Périodicité à saisir",IF(OR(ISTEXT($U174),ISTEXT($R174)),"Date à corriger",IF(AND($E174="",$Q174="Location",$S174&lt;&gt;"Oui"),"Rapport loueur à obtenir",IF(NOT(ISNUMBER($G174)),"Vérif. initiale à tracer",IF($H174&lt;0,"En retard",IF(AND($Q174="Location",$S174&lt;&gt;"Oui"),"Rapport loueur à obtenir",IF($H174&lt;='Tableau de bord'!$C$4,"À planifier","À jour"))))))))))))</f>
      </c>
      <c r="J174" s="22">
        <f>IF($A174="","",COUNTIFS(Réserves!$B$2:$B$301,$A174,Réserves!$J$2:$J$301,"Ouverte")+COUNTIFS(Réserves!$B$2:$B$301,$A174,Réserves!$J$2:$J$301,"En retard"))</f>
      </c>
      <c r="K174" s="20">
        <f>IF($C174="","",IFERROR(INDEX('Référentiel'!$B$2:$B$83,MATCH($C174,'Référentiel'!$A$2:$A$83,0)),"Type hors liste"))</f>
      </c>
      <c r="L174" s="22">
        <f>IF($C174="","",IF(IFERROR(INDEX('Référentiel'!$C$2:$C$83,MATCH($C174,'Référentiel'!$A$2:$A$83,0)),0)=0,"",IFERROR(INDEX('Référentiel'!$C$2:$C$83,MATCH($C174,'Référentiel'!$A$2:$A$83,0)),0)))</f>
      </c>
      <c r="M174" s="23"/>
      <c r="N174" s="22">
        <f>IF($C174="","",IF(IF($M174&lt;&gt;"",IF($L174&lt;&gt;"",MIN($L174,$M174),$M174),IF($L174&lt;&gt;"",$L174,IF(IFERROR(INDEX('Référentiel'!$D$2:$D$83,MATCH($C174,'Référentiel'!$A$2:$A$83,0)),0)&gt;0,IFERROR(INDEX('Référentiel'!$D$2:$D$83,MATCH($C174,'Référentiel'!$A$2:$A$83,0)),0),"")))="","",IF(AND(IFERROR(INDEX('Référentiel'!$F$2:$F$83,MATCH($C174,'Référentiel'!$A$2:$A$83,0)),0)&gt;0,N($J174)&gt;0),MIN(IF($M174&lt;&gt;"",IF($L174&lt;&gt;"",MIN($L174,$M174),$M174),IF($L174&lt;&gt;"",$L174,IF(IFERROR(INDEX('Référentiel'!$D$2:$D$83,MATCH($C174,'Référentiel'!$A$2:$A$83,0)),0)&gt;0,IFERROR(INDEX('Référentiel'!$D$2:$D$83,MATCH($C174,'Référentiel'!$A$2:$A$83,0)),0),""))),IFERROR(INDEX('Référentiel'!$F$2:$F$83,MATCH($C174,'Référentiel'!$A$2:$A$83,0)),0)),IF($M174&lt;&gt;"",IF($L174&lt;&gt;"",MIN($L174,$M174),$M174),IF($L174&lt;&gt;"",$L174,IF(IFERROR(INDEX('Référentiel'!$D$2:$D$83,MATCH($C174,'Référentiel'!$A$2:$A$83,0)),0)&gt;0,IFERROR(INDEX('Référentiel'!$D$2:$D$83,MATCH($C174,'Référentiel'!$A$2:$A$83,0)),0),""))))))</f>
      </c>
      <c r="O174" s="9"/>
      <c r="P174" s="23"/>
      <c r="Q174" s="9"/>
      <c r="R174" s="24"/>
      <c r="S174" s="23"/>
      <c r="T174" s="23"/>
      <c r="U174" s="24"/>
      <c r="V174" s="20">
        <f>IF($C174="","",IFERROR(INDEX('Référentiel'!$K$2:$K$83,MATCH($C174,'Référentiel'!$A$2:$A$83,0)),""))</f>
      </c>
      <c r="W174" s="20">
        <f>IF(AND(ISNUMBER($G174),$I174&lt;&gt;"Hors service",$I174&lt;&gt;"Location terminée"),$G174+ROW()/100000,"")</f>
      </c>
      <c r="X174" s="9"/>
    </row>
    <row r="175" spans="1:24" x14ac:dyDescent="0.25">
      <c r="A175" s="9"/>
      <c r="B175" s="9"/>
      <c r="C175" s="9"/>
      <c r="D175" s="9"/>
      <c r="E175" s="19">
        <f>IF($A175="","",IF(SUMPRODUCT(MAX((Vérifications!$B$2:$B$1001=$A175)*Vérifications!$L$2:$L$1001))=0,"",SUMPRODUCT(MAX((Vérifications!$B$2:$B$1001=$A175)*Vérifications!$L$2:$L$1001))))</f>
      </c>
      <c r="F175" s="20">
        <f>IF($E175="","",IFERROR(INDEX(Vérifications!$E$2:$E$1001,MATCH($A175&amp;"|"&amp;$E175,Vérifications!$M$2:$M$1001,0)),""))</f>
      </c>
      <c r="G175" s="19">
        <f>IF($N175="","",IF(ISNUMBER($E175),EDATE($E175,$N175),IF(AND(ISNUMBER($U175),IFERROR(INDEX('Référentiel'!$E$2:$E$83,MATCH($C175,'Référentiel'!$A$2:$A$83,0)),0)&gt;0),EDATE($U175,IFERROR(INDEX('Référentiel'!$E$2:$E$83,MATCH($C175,'Référentiel'!$A$2:$A$83,0)),0)),"")))</f>
      </c>
      <c r="H175" s="21">
        <f>IF(ISNUMBER($G175),$G175-TODAY(),"")</f>
      </c>
      <c r="I175" s="20">
        <f>IF(AND($A175="",$C175=""),"",IF($T175="Non","Hors service",IF(AND($Q175="Location",ISNUMBER($R175),$R175&lt;TODAY()),"Location terminée",IF(OR($F175="Mise à l'arrêt",IF($A175="",0,SUMPRODUCT((Réserves!$B$2:$B$301=$A175)*(Réserves!$E$2:$E$301="Mise à l'arrêt")*(Réserves!$J$2:$J$301&lt;&gt;"Levée")*(Réserves!$J$2:$J$301&lt;&gt;"")))&gt;0),"Arrêt : réserve à lever",IF($C175="","Type à choisir",IF($N175="","Périodicité à saisir",IF(OR(ISTEXT($U175),ISTEXT($R175)),"Date à corriger",IF(AND($E175="",$Q175="Location",$S175&lt;&gt;"Oui"),"Rapport loueur à obtenir",IF(NOT(ISNUMBER($G175)),"Vérif. initiale à tracer",IF($H175&lt;0,"En retard",IF(AND($Q175="Location",$S175&lt;&gt;"Oui"),"Rapport loueur à obtenir",IF($H175&lt;='Tableau de bord'!$C$4,"À planifier","À jour"))))))))))))</f>
      </c>
      <c r="J175" s="22">
        <f>IF($A175="","",COUNTIFS(Réserves!$B$2:$B$301,$A175,Réserves!$J$2:$J$301,"Ouverte")+COUNTIFS(Réserves!$B$2:$B$301,$A175,Réserves!$J$2:$J$301,"En retard"))</f>
      </c>
      <c r="K175" s="20">
        <f>IF($C175="","",IFERROR(INDEX('Référentiel'!$B$2:$B$83,MATCH($C175,'Référentiel'!$A$2:$A$83,0)),"Type hors liste"))</f>
      </c>
      <c r="L175" s="22">
        <f>IF($C175="","",IF(IFERROR(INDEX('Référentiel'!$C$2:$C$83,MATCH($C175,'Référentiel'!$A$2:$A$83,0)),0)=0,"",IFERROR(INDEX('Référentiel'!$C$2:$C$83,MATCH($C175,'Référentiel'!$A$2:$A$83,0)),0)))</f>
      </c>
      <c r="M175" s="23"/>
      <c r="N175" s="22">
        <f>IF($C175="","",IF(IF($M175&lt;&gt;"",IF($L175&lt;&gt;"",MIN($L175,$M175),$M175),IF($L175&lt;&gt;"",$L175,IF(IFERROR(INDEX('Référentiel'!$D$2:$D$83,MATCH($C175,'Référentiel'!$A$2:$A$83,0)),0)&gt;0,IFERROR(INDEX('Référentiel'!$D$2:$D$83,MATCH($C175,'Référentiel'!$A$2:$A$83,0)),0),"")))="","",IF(AND(IFERROR(INDEX('Référentiel'!$F$2:$F$83,MATCH($C175,'Référentiel'!$A$2:$A$83,0)),0)&gt;0,N($J175)&gt;0),MIN(IF($M175&lt;&gt;"",IF($L175&lt;&gt;"",MIN($L175,$M175),$M175),IF($L175&lt;&gt;"",$L175,IF(IFERROR(INDEX('Référentiel'!$D$2:$D$83,MATCH($C175,'Référentiel'!$A$2:$A$83,0)),0)&gt;0,IFERROR(INDEX('Référentiel'!$D$2:$D$83,MATCH($C175,'Référentiel'!$A$2:$A$83,0)),0),""))),IFERROR(INDEX('Référentiel'!$F$2:$F$83,MATCH($C175,'Référentiel'!$A$2:$A$83,0)),0)),IF($M175&lt;&gt;"",IF($L175&lt;&gt;"",MIN($L175,$M175),$M175),IF($L175&lt;&gt;"",$L175,IF(IFERROR(INDEX('Référentiel'!$D$2:$D$83,MATCH($C175,'Référentiel'!$A$2:$A$83,0)),0)&gt;0,IFERROR(INDEX('Référentiel'!$D$2:$D$83,MATCH($C175,'Référentiel'!$A$2:$A$83,0)),0),""))))))</f>
      </c>
      <c r="O175" s="9"/>
      <c r="P175" s="23"/>
      <c r="Q175" s="9"/>
      <c r="R175" s="24"/>
      <c r="S175" s="23"/>
      <c r="T175" s="23"/>
      <c r="U175" s="24"/>
      <c r="V175" s="20">
        <f>IF($C175="","",IFERROR(INDEX('Référentiel'!$K$2:$K$83,MATCH($C175,'Référentiel'!$A$2:$A$83,0)),""))</f>
      </c>
      <c r="W175" s="20">
        <f>IF(AND(ISNUMBER($G175),$I175&lt;&gt;"Hors service",$I175&lt;&gt;"Location terminée"),$G175+ROW()/100000,"")</f>
      </c>
      <c r="X175" s="9"/>
    </row>
    <row r="176" spans="1:24" x14ac:dyDescent="0.25">
      <c r="A176" s="9"/>
      <c r="B176" s="9"/>
      <c r="C176" s="9"/>
      <c r="D176" s="9"/>
      <c r="E176" s="19">
        <f>IF($A176="","",IF(SUMPRODUCT(MAX((Vérifications!$B$2:$B$1001=$A176)*Vérifications!$L$2:$L$1001))=0,"",SUMPRODUCT(MAX((Vérifications!$B$2:$B$1001=$A176)*Vérifications!$L$2:$L$1001))))</f>
      </c>
      <c r="F176" s="20">
        <f>IF($E176="","",IFERROR(INDEX(Vérifications!$E$2:$E$1001,MATCH($A176&amp;"|"&amp;$E176,Vérifications!$M$2:$M$1001,0)),""))</f>
      </c>
      <c r="G176" s="19">
        <f>IF($N176="","",IF(ISNUMBER($E176),EDATE($E176,$N176),IF(AND(ISNUMBER($U176),IFERROR(INDEX('Référentiel'!$E$2:$E$83,MATCH($C176,'Référentiel'!$A$2:$A$83,0)),0)&gt;0),EDATE($U176,IFERROR(INDEX('Référentiel'!$E$2:$E$83,MATCH($C176,'Référentiel'!$A$2:$A$83,0)),0)),"")))</f>
      </c>
      <c r="H176" s="21">
        <f>IF(ISNUMBER($G176),$G176-TODAY(),"")</f>
      </c>
      <c r="I176" s="20">
        <f>IF(AND($A176="",$C176=""),"",IF($T176="Non","Hors service",IF(AND($Q176="Location",ISNUMBER($R176),$R176&lt;TODAY()),"Location terminée",IF(OR($F176="Mise à l'arrêt",IF($A176="",0,SUMPRODUCT((Réserves!$B$2:$B$301=$A176)*(Réserves!$E$2:$E$301="Mise à l'arrêt")*(Réserves!$J$2:$J$301&lt;&gt;"Levée")*(Réserves!$J$2:$J$301&lt;&gt;"")))&gt;0),"Arrêt : réserve à lever",IF($C176="","Type à choisir",IF($N176="","Périodicité à saisir",IF(OR(ISTEXT($U176),ISTEXT($R176)),"Date à corriger",IF(AND($E176="",$Q176="Location",$S176&lt;&gt;"Oui"),"Rapport loueur à obtenir",IF(NOT(ISNUMBER($G176)),"Vérif. initiale à tracer",IF($H176&lt;0,"En retard",IF(AND($Q176="Location",$S176&lt;&gt;"Oui"),"Rapport loueur à obtenir",IF($H176&lt;='Tableau de bord'!$C$4,"À planifier","À jour"))))))))))))</f>
      </c>
      <c r="J176" s="22">
        <f>IF($A176="","",COUNTIFS(Réserves!$B$2:$B$301,$A176,Réserves!$J$2:$J$301,"Ouverte")+COUNTIFS(Réserves!$B$2:$B$301,$A176,Réserves!$J$2:$J$301,"En retard"))</f>
      </c>
      <c r="K176" s="20">
        <f>IF($C176="","",IFERROR(INDEX('Référentiel'!$B$2:$B$83,MATCH($C176,'Référentiel'!$A$2:$A$83,0)),"Type hors liste"))</f>
      </c>
      <c r="L176" s="22">
        <f>IF($C176="","",IF(IFERROR(INDEX('Référentiel'!$C$2:$C$83,MATCH($C176,'Référentiel'!$A$2:$A$83,0)),0)=0,"",IFERROR(INDEX('Référentiel'!$C$2:$C$83,MATCH($C176,'Référentiel'!$A$2:$A$83,0)),0)))</f>
      </c>
      <c r="M176" s="23"/>
      <c r="N176" s="22">
        <f>IF($C176="","",IF(IF($M176&lt;&gt;"",IF($L176&lt;&gt;"",MIN($L176,$M176),$M176),IF($L176&lt;&gt;"",$L176,IF(IFERROR(INDEX('Référentiel'!$D$2:$D$83,MATCH($C176,'Référentiel'!$A$2:$A$83,0)),0)&gt;0,IFERROR(INDEX('Référentiel'!$D$2:$D$83,MATCH($C176,'Référentiel'!$A$2:$A$83,0)),0),"")))="","",IF(AND(IFERROR(INDEX('Référentiel'!$F$2:$F$83,MATCH($C176,'Référentiel'!$A$2:$A$83,0)),0)&gt;0,N($J176)&gt;0),MIN(IF($M176&lt;&gt;"",IF($L176&lt;&gt;"",MIN($L176,$M176),$M176),IF($L176&lt;&gt;"",$L176,IF(IFERROR(INDEX('Référentiel'!$D$2:$D$83,MATCH($C176,'Référentiel'!$A$2:$A$83,0)),0)&gt;0,IFERROR(INDEX('Référentiel'!$D$2:$D$83,MATCH($C176,'Référentiel'!$A$2:$A$83,0)),0),""))),IFERROR(INDEX('Référentiel'!$F$2:$F$83,MATCH($C176,'Référentiel'!$A$2:$A$83,0)),0)),IF($M176&lt;&gt;"",IF($L176&lt;&gt;"",MIN($L176,$M176),$M176),IF($L176&lt;&gt;"",$L176,IF(IFERROR(INDEX('Référentiel'!$D$2:$D$83,MATCH($C176,'Référentiel'!$A$2:$A$83,0)),0)&gt;0,IFERROR(INDEX('Référentiel'!$D$2:$D$83,MATCH($C176,'Référentiel'!$A$2:$A$83,0)),0),""))))))</f>
      </c>
      <c r="O176" s="9"/>
      <c r="P176" s="23"/>
      <c r="Q176" s="9"/>
      <c r="R176" s="24"/>
      <c r="S176" s="23"/>
      <c r="T176" s="23"/>
      <c r="U176" s="24"/>
      <c r="V176" s="20">
        <f>IF($C176="","",IFERROR(INDEX('Référentiel'!$K$2:$K$83,MATCH($C176,'Référentiel'!$A$2:$A$83,0)),""))</f>
      </c>
      <c r="W176" s="20">
        <f>IF(AND(ISNUMBER($G176),$I176&lt;&gt;"Hors service",$I176&lt;&gt;"Location terminée"),$G176+ROW()/100000,"")</f>
      </c>
      <c r="X176" s="9"/>
    </row>
    <row r="177" spans="1:24" x14ac:dyDescent="0.25">
      <c r="A177" s="9"/>
      <c r="B177" s="9"/>
      <c r="C177" s="9"/>
      <c r="D177" s="9"/>
      <c r="E177" s="19">
        <f>IF($A177="","",IF(SUMPRODUCT(MAX((Vérifications!$B$2:$B$1001=$A177)*Vérifications!$L$2:$L$1001))=0,"",SUMPRODUCT(MAX((Vérifications!$B$2:$B$1001=$A177)*Vérifications!$L$2:$L$1001))))</f>
      </c>
      <c r="F177" s="20">
        <f>IF($E177="","",IFERROR(INDEX(Vérifications!$E$2:$E$1001,MATCH($A177&amp;"|"&amp;$E177,Vérifications!$M$2:$M$1001,0)),""))</f>
      </c>
      <c r="G177" s="19">
        <f>IF($N177="","",IF(ISNUMBER($E177),EDATE($E177,$N177),IF(AND(ISNUMBER($U177),IFERROR(INDEX('Référentiel'!$E$2:$E$83,MATCH($C177,'Référentiel'!$A$2:$A$83,0)),0)&gt;0),EDATE($U177,IFERROR(INDEX('Référentiel'!$E$2:$E$83,MATCH($C177,'Référentiel'!$A$2:$A$83,0)),0)),"")))</f>
      </c>
      <c r="H177" s="21">
        <f>IF(ISNUMBER($G177),$G177-TODAY(),"")</f>
      </c>
      <c r="I177" s="20">
        <f>IF(AND($A177="",$C177=""),"",IF($T177="Non","Hors service",IF(AND($Q177="Location",ISNUMBER($R177),$R177&lt;TODAY()),"Location terminée",IF(OR($F177="Mise à l'arrêt",IF($A177="",0,SUMPRODUCT((Réserves!$B$2:$B$301=$A177)*(Réserves!$E$2:$E$301="Mise à l'arrêt")*(Réserves!$J$2:$J$301&lt;&gt;"Levée")*(Réserves!$J$2:$J$301&lt;&gt;"")))&gt;0),"Arrêt : réserve à lever",IF($C177="","Type à choisir",IF($N177="","Périodicité à saisir",IF(OR(ISTEXT($U177),ISTEXT($R177)),"Date à corriger",IF(AND($E177="",$Q177="Location",$S177&lt;&gt;"Oui"),"Rapport loueur à obtenir",IF(NOT(ISNUMBER($G177)),"Vérif. initiale à tracer",IF($H177&lt;0,"En retard",IF(AND($Q177="Location",$S177&lt;&gt;"Oui"),"Rapport loueur à obtenir",IF($H177&lt;='Tableau de bord'!$C$4,"À planifier","À jour"))))))))))))</f>
      </c>
      <c r="J177" s="22">
        <f>IF($A177="","",COUNTIFS(Réserves!$B$2:$B$301,$A177,Réserves!$J$2:$J$301,"Ouverte")+COUNTIFS(Réserves!$B$2:$B$301,$A177,Réserves!$J$2:$J$301,"En retard"))</f>
      </c>
      <c r="K177" s="20">
        <f>IF($C177="","",IFERROR(INDEX('Référentiel'!$B$2:$B$83,MATCH($C177,'Référentiel'!$A$2:$A$83,0)),"Type hors liste"))</f>
      </c>
      <c r="L177" s="22">
        <f>IF($C177="","",IF(IFERROR(INDEX('Référentiel'!$C$2:$C$83,MATCH($C177,'Référentiel'!$A$2:$A$83,0)),0)=0,"",IFERROR(INDEX('Référentiel'!$C$2:$C$83,MATCH($C177,'Référentiel'!$A$2:$A$83,0)),0)))</f>
      </c>
      <c r="M177" s="23"/>
      <c r="N177" s="22">
        <f>IF($C177="","",IF(IF($M177&lt;&gt;"",IF($L177&lt;&gt;"",MIN($L177,$M177),$M177),IF($L177&lt;&gt;"",$L177,IF(IFERROR(INDEX('Référentiel'!$D$2:$D$83,MATCH($C177,'Référentiel'!$A$2:$A$83,0)),0)&gt;0,IFERROR(INDEX('Référentiel'!$D$2:$D$83,MATCH($C177,'Référentiel'!$A$2:$A$83,0)),0),"")))="","",IF(AND(IFERROR(INDEX('Référentiel'!$F$2:$F$83,MATCH($C177,'Référentiel'!$A$2:$A$83,0)),0)&gt;0,N($J177)&gt;0),MIN(IF($M177&lt;&gt;"",IF($L177&lt;&gt;"",MIN($L177,$M177),$M177),IF($L177&lt;&gt;"",$L177,IF(IFERROR(INDEX('Référentiel'!$D$2:$D$83,MATCH($C177,'Référentiel'!$A$2:$A$83,0)),0)&gt;0,IFERROR(INDEX('Référentiel'!$D$2:$D$83,MATCH($C177,'Référentiel'!$A$2:$A$83,0)),0),""))),IFERROR(INDEX('Référentiel'!$F$2:$F$83,MATCH($C177,'Référentiel'!$A$2:$A$83,0)),0)),IF($M177&lt;&gt;"",IF($L177&lt;&gt;"",MIN($L177,$M177),$M177),IF($L177&lt;&gt;"",$L177,IF(IFERROR(INDEX('Référentiel'!$D$2:$D$83,MATCH($C177,'Référentiel'!$A$2:$A$83,0)),0)&gt;0,IFERROR(INDEX('Référentiel'!$D$2:$D$83,MATCH($C177,'Référentiel'!$A$2:$A$83,0)),0),""))))))</f>
      </c>
      <c r="O177" s="9"/>
      <c r="P177" s="23"/>
      <c r="Q177" s="9"/>
      <c r="R177" s="24"/>
      <c r="S177" s="23"/>
      <c r="T177" s="23"/>
      <c r="U177" s="24"/>
      <c r="V177" s="20">
        <f>IF($C177="","",IFERROR(INDEX('Référentiel'!$K$2:$K$83,MATCH($C177,'Référentiel'!$A$2:$A$83,0)),""))</f>
      </c>
      <c r="W177" s="20">
        <f>IF(AND(ISNUMBER($G177),$I177&lt;&gt;"Hors service",$I177&lt;&gt;"Location terminée"),$G177+ROW()/100000,"")</f>
      </c>
      <c r="X177" s="9"/>
    </row>
    <row r="178" spans="1:24" x14ac:dyDescent="0.25">
      <c r="A178" s="9"/>
      <c r="B178" s="9"/>
      <c r="C178" s="9"/>
      <c r="D178" s="9"/>
      <c r="E178" s="19">
        <f>IF($A178="","",IF(SUMPRODUCT(MAX((Vérifications!$B$2:$B$1001=$A178)*Vérifications!$L$2:$L$1001))=0,"",SUMPRODUCT(MAX((Vérifications!$B$2:$B$1001=$A178)*Vérifications!$L$2:$L$1001))))</f>
      </c>
      <c r="F178" s="20">
        <f>IF($E178="","",IFERROR(INDEX(Vérifications!$E$2:$E$1001,MATCH($A178&amp;"|"&amp;$E178,Vérifications!$M$2:$M$1001,0)),""))</f>
      </c>
      <c r="G178" s="19">
        <f>IF($N178="","",IF(ISNUMBER($E178),EDATE($E178,$N178),IF(AND(ISNUMBER($U178),IFERROR(INDEX('Référentiel'!$E$2:$E$83,MATCH($C178,'Référentiel'!$A$2:$A$83,0)),0)&gt;0),EDATE($U178,IFERROR(INDEX('Référentiel'!$E$2:$E$83,MATCH($C178,'Référentiel'!$A$2:$A$83,0)),0)),"")))</f>
      </c>
      <c r="H178" s="21">
        <f>IF(ISNUMBER($G178),$G178-TODAY(),"")</f>
      </c>
      <c r="I178" s="20">
        <f>IF(AND($A178="",$C178=""),"",IF($T178="Non","Hors service",IF(AND($Q178="Location",ISNUMBER($R178),$R178&lt;TODAY()),"Location terminée",IF(OR($F178="Mise à l'arrêt",IF($A178="",0,SUMPRODUCT((Réserves!$B$2:$B$301=$A178)*(Réserves!$E$2:$E$301="Mise à l'arrêt")*(Réserves!$J$2:$J$301&lt;&gt;"Levée")*(Réserves!$J$2:$J$301&lt;&gt;"")))&gt;0),"Arrêt : réserve à lever",IF($C178="","Type à choisir",IF($N178="","Périodicité à saisir",IF(OR(ISTEXT($U178),ISTEXT($R178)),"Date à corriger",IF(AND($E178="",$Q178="Location",$S178&lt;&gt;"Oui"),"Rapport loueur à obtenir",IF(NOT(ISNUMBER($G178)),"Vérif. initiale à tracer",IF($H178&lt;0,"En retard",IF(AND($Q178="Location",$S178&lt;&gt;"Oui"),"Rapport loueur à obtenir",IF($H178&lt;='Tableau de bord'!$C$4,"À planifier","À jour"))))))))))))</f>
      </c>
      <c r="J178" s="22">
        <f>IF($A178="","",COUNTIFS(Réserves!$B$2:$B$301,$A178,Réserves!$J$2:$J$301,"Ouverte")+COUNTIFS(Réserves!$B$2:$B$301,$A178,Réserves!$J$2:$J$301,"En retard"))</f>
      </c>
      <c r="K178" s="20">
        <f>IF($C178="","",IFERROR(INDEX('Référentiel'!$B$2:$B$83,MATCH($C178,'Référentiel'!$A$2:$A$83,0)),"Type hors liste"))</f>
      </c>
      <c r="L178" s="22">
        <f>IF($C178="","",IF(IFERROR(INDEX('Référentiel'!$C$2:$C$83,MATCH($C178,'Référentiel'!$A$2:$A$83,0)),0)=0,"",IFERROR(INDEX('Référentiel'!$C$2:$C$83,MATCH($C178,'Référentiel'!$A$2:$A$83,0)),0)))</f>
      </c>
      <c r="M178" s="23"/>
      <c r="N178" s="22">
        <f>IF($C178="","",IF(IF($M178&lt;&gt;"",IF($L178&lt;&gt;"",MIN($L178,$M178),$M178),IF($L178&lt;&gt;"",$L178,IF(IFERROR(INDEX('Référentiel'!$D$2:$D$83,MATCH($C178,'Référentiel'!$A$2:$A$83,0)),0)&gt;0,IFERROR(INDEX('Référentiel'!$D$2:$D$83,MATCH($C178,'Référentiel'!$A$2:$A$83,0)),0),"")))="","",IF(AND(IFERROR(INDEX('Référentiel'!$F$2:$F$83,MATCH($C178,'Référentiel'!$A$2:$A$83,0)),0)&gt;0,N($J178)&gt;0),MIN(IF($M178&lt;&gt;"",IF($L178&lt;&gt;"",MIN($L178,$M178),$M178),IF($L178&lt;&gt;"",$L178,IF(IFERROR(INDEX('Référentiel'!$D$2:$D$83,MATCH($C178,'Référentiel'!$A$2:$A$83,0)),0)&gt;0,IFERROR(INDEX('Référentiel'!$D$2:$D$83,MATCH($C178,'Référentiel'!$A$2:$A$83,0)),0),""))),IFERROR(INDEX('Référentiel'!$F$2:$F$83,MATCH($C178,'Référentiel'!$A$2:$A$83,0)),0)),IF($M178&lt;&gt;"",IF($L178&lt;&gt;"",MIN($L178,$M178),$M178),IF($L178&lt;&gt;"",$L178,IF(IFERROR(INDEX('Référentiel'!$D$2:$D$83,MATCH($C178,'Référentiel'!$A$2:$A$83,0)),0)&gt;0,IFERROR(INDEX('Référentiel'!$D$2:$D$83,MATCH($C178,'Référentiel'!$A$2:$A$83,0)),0),""))))))</f>
      </c>
      <c r="O178" s="9"/>
      <c r="P178" s="23"/>
      <c r="Q178" s="9"/>
      <c r="R178" s="24"/>
      <c r="S178" s="23"/>
      <c r="T178" s="23"/>
      <c r="U178" s="24"/>
      <c r="V178" s="20">
        <f>IF($C178="","",IFERROR(INDEX('Référentiel'!$K$2:$K$83,MATCH($C178,'Référentiel'!$A$2:$A$83,0)),""))</f>
      </c>
      <c r="W178" s="20">
        <f>IF(AND(ISNUMBER($G178),$I178&lt;&gt;"Hors service",$I178&lt;&gt;"Location terminée"),$G178+ROW()/100000,"")</f>
      </c>
      <c r="X178" s="9"/>
    </row>
    <row r="179" spans="1:24" x14ac:dyDescent="0.25">
      <c r="A179" s="9"/>
      <c r="B179" s="9"/>
      <c r="C179" s="9"/>
      <c r="D179" s="9"/>
      <c r="E179" s="19">
        <f>IF($A179="","",IF(SUMPRODUCT(MAX((Vérifications!$B$2:$B$1001=$A179)*Vérifications!$L$2:$L$1001))=0,"",SUMPRODUCT(MAX((Vérifications!$B$2:$B$1001=$A179)*Vérifications!$L$2:$L$1001))))</f>
      </c>
      <c r="F179" s="20">
        <f>IF($E179="","",IFERROR(INDEX(Vérifications!$E$2:$E$1001,MATCH($A179&amp;"|"&amp;$E179,Vérifications!$M$2:$M$1001,0)),""))</f>
      </c>
      <c r="G179" s="19">
        <f>IF($N179="","",IF(ISNUMBER($E179),EDATE($E179,$N179),IF(AND(ISNUMBER($U179),IFERROR(INDEX('Référentiel'!$E$2:$E$83,MATCH($C179,'Référentiel'!$A$2:$A$83,0)),0)&gt;0),EDATE($U179,IFERROR(INDEX('Référentiel'!$E$2:$E$83,MATCH($C179,'Référentiel'!$A$2:$A$83,0)),0)),"")))</f>
      </c>
      <c r="H179" s="21">
        <f>IF(ISNUMBER($G179),$G179-TODAY(),"")</f>
      </c>
      <c r="I179" s="20">
        <f>IF(AND($A179="",$C179=""),"",IF($T179="Non","Hors service",IF(AND($Q179="Location",ISNUMBER($R179),$R179&lt;TODAY()),"Location terminée",IF(OR($F179="Mise à l'arrêt",IF($A179="",0,SUMPRODUCT((Réserves!$B$2:$B$301=$A179)*(Réserves!$E$2:$E$301="Mise à l'arrêt")*(Réserves!$J$2:$J$301&lt;&gt;"Levée")*(Réserves!$J$2:$J$301&lt;&gt;"")))&gt;0),"Arrêt : réserve à lever",IF($C179="","Type à choisir",IF($N179="","Périodicité à saisir",IF(OR(ISTEXT($U179),ISTEXT($R179)),"Date à corriger",IF(AND($E179="",$Q179="Location",$S179&lt;&gt;"Oui"),"Rapport loueur à obtenir",IF(NOT(ISNUMBER($G179)),"Vérif. initiale à tracer",IF($H179&lt;0,"En retard",IF(AND($Q179="Location",$S179&lt;&gt;"Oui"),"Rapport loueur à obtenir",IF($H179&lt;='Tableau de bord'!$C$4,"À planifier","À jour"))))))))))))</f>
      </c>
      <c r="J179" s="22">
        <f>IF($A179="","",COUNTIFS(Réserves!$B$2:$B$301,$A179,Réserves!$J$2:$J$301,"Ouverte")+COUNTIFS(Réserves!$B$2:$B$301,$A179,Réserves!$J$2:$J$301,"En retard"))</f>
      </c>
      <c r="K179" s="20">
        <f>IF($C179="","",IFERROR(INDEX('Référentiel'!$B$2:$B$83,MATCH($C179,'Référentiel'!$A$2:$A$83,0)),"Type hors liste"))</f>
      </c>
      <c r="L179" s="22">
        <f>IF($C179="","",IF(IFERROR(INDEX('Référentiel'!$C$2:$C$83,MATCH($C179,'Référentiel'!$A$2:$A$83,0)),0)=0,"",IFERROR(INDEX('Référentiel'!$C$2:$C$83,MATCH($C179,'Référentiel'!$A$2:$A$83,0)),0)))</f>
      </c>
      <c r="M179" s="23"/>
      <c r="N179" s="22">
        <f>IF($C179="","",IF(IF($M179&lt;&gt;"",IF($L179&lt;&gt;"",MIN($L179,$M179),$M179),IF($L179&lt;&gt;"",$L179,IF(IFERROR(INDEX('Référentiel'!$D$2:$D$83,MATCH($C179,'Référentiel'!$A$2:$A$83,0)),0)&gt;0,IFERROR(INDEX('Référentiel'!$D$2:$D$83,MATCH($C179,'Référentiel'!$A$2:$A$83,0)),0),"")))="","",IF(AND(IFERROR(INDEX('Référentiel'!$F$2:$F$83,MATCH($C179,'Référentiel'!$A$2:$A$83,0)),0)&gt;0,N($J179)&gt;0),MIN(IF($M179&lt;&gt;"",IF($L179&lt;&gt;"",MIN($L179,$M179),$M179),IF($L179&lt;&gt;"",$L179,IF(IFERROR(INDEX('Référentiel'!$D$2:$D$83,MATCH($C179,'Référentiel'!$A$2:$A$83,0)),0)&gt;0,IFERROR(INDEX('Référentiel'!$D$2:$D$83,MATCH($C179,'Référentiel'!$A$2:$A$83,0)),0),""))),IFERROR(INDEX('Référentiel'!$F$2:$F$83,MATCH($C179,'Référentiel'!$A$2:$A$83,0)),0)),IF($M179&lt;&gt;"",IF($L179&lt;&gt;"",MIN($L179,$M179),$M179),IF($L179&lt;&gt;"",$L179,IF(IFERROR(INDEX('Référentiel'!$D$2:$D$83,MATCH($C179,'Référentiel'!$A$2:$A$83,0)),0)&gt;0,IFERROR(INDEX('Référentiel'!$D$2:$D$83,MATCH($C179,'Référentiel'!$A$2:$A$83,0)),0),""))))))</f>
      </c>
      <c r="O179" s="9"/>
      <c r="P179" s="23"/>
      <c r="Q179" s="9"/>
      <c r="R179" s="24"/>
      <c r="S179" s="23"/>
      <c r="T179" s="23"/>
      <c r="U179" s="24"/>
      <c r="V179" s="20">
        <f>IF($C179="","",IFERROR(INDEX('Référentiel'!$K$2:$K$83,MATCH($C179,'Référentiel'!$A$2:$A$83,0)),""))</f>
      </c>
      <c r="W179" s="20">
        <f>IF(AND(ISNUMBER($G179),$I179&lt;&gt;"Hors service",$I179&lt;&gt;"Location terminée"),$G179+ROW()/100000,"")</f>
      </c>
      <c r="X179" s="9"/>
    </row>
    <row r="180" spans="1:24" x14ac:dyDescent="0.25">
      <c r="A180" s="9"/>
      <c r="B180" s="9"/>
      <c r="C180" s="9"/>
      <c r="D180" s="9"/>
      <c r="E180" s="19">
        <f>IF($A180="","",IF(SUMPRODUCT(MAX((Vérifications!$B$2:$B$1001=$A180)*Vérifications!$L$2:$L$1001))=0,"",SUMPRODUCT(MAX((Vérifications!$B$2:$B$1001=$A180)*Vérifications!$L$2:$L$1001))))</f>
      </c>
      <c r="F180" s="20">
        <f>IF($E180="","",IFERROR(INDEX(Vérifications!$E$2:$E$1001,MATCH($A180&amp;"|"&amp;$E180,Vérifications!$M$2:$M$1001,0)),""))</f>
      </c>
      <c r="G180" s="19">
        <f>IF($N180="","",IF(ISNUMBER($E180),EDATE($E180,$N180),IF(AND(ISNUMBER($U180),IFERROR(INDEX('Référentiel'!$E$2:$E$83,MATCH($C180,'Référentiel'!$A$2:$A$83,0)),0)&gt;0),EDATE($U180,IFERROR(INDEX('Référentiel'!$E$2:$E$83,MATCH($C180,'Référentiel'!$A$2:$A$83,0)),0)),"")))</f>
      </c>
      <c r="H180" s="21">
        <f>IF(ISNUMBER($G180),$G180-TODAY(),"")</f>
      </c>
      <c r="I180" s="20">
        <f>IF(AND($A180="",$C180=""),"",IF($T180="Non","Hors service",IF(AND($Q180="Location",ISNUMBER($R180),$R180&lt;TODAY()),"Location terminée",IF(OR($F180="Mise à l'arrêt",IF($A180="",0,SUMPRODUCT((Réserves!$B$2:$B$301=$A180)*(Réserves!$E$2:$E$301="Mise à l'arrêt")*(Réserves!$J$2:$J$301&lt;&gt;"Levée")*(Réserves!$J$2:$J$301&lt;&gt;"")))&gt;0),"Arrêt : réserve à lever",IF($C180="","Type à choisir",IF($N180="","Périodicité à saisir",IF(OR(ISTEXT($U180),ISTEXT($R180)),"Date à corriger",IF(AND($E180="",$Q180="Location",$S180&lt;&gt;"Oui"),"Rapport loueur à obtenir",IF(NOT(ISNUMBER($G180)),"Vérif. initiale à tracer",IF($H180&lt;0,"En retard",IF(AND($Q180="Location",$S180&lt;&gt;"Oui"),"Rapport loueur à obtenir",IF($H180&lt;='Tableau de bord'!$C$4,"À planifier","À jour"))))))))))))</f>
      </c>
      <c r="J180" s="22">
        <f>IF($A180="","",COUNTIFS(Réserves!$B$2:$B$301,$A180,Réserves!$J$2:$J$301,"Ouverte")+COUNTIFS(Réserves!$B$2:$B$301,$A180,Réserves!$J$2:$J$301,"En retard"))</f>
      </c>
      <c r="K180" s="20">
        <f>IF($C180="","",IFERROR(INDEX('Référentiel'!$B$2:$B$83,MATCH($C180,'Référentiel'!$A$2:$A$83,0)),"Type hors liste"))</f>
      </c>
      <c r="L180" s="22">
        <f>IF($C180="","",IF(IFERROR(INDEX('Référentiel'!$C$2:$C$83,MATCH($C180,'Référentiel'!$A$2:$A$83,0)),0)=0,"",IFERROR(INDEX('Référentiel'!$C$2:$C$83,MATCH($C180,'Référentiel'!$A$2:$A$83,0)),0)))</f>
      </c>
      <c r="M180" s="23"/>
      <c r="N180" s="22">
        <f>IF($C180="","",IF(IF($M180&lt;&gt;"",IF($L180&lt;&gt;"",MIN($L180,$M180),$M180),IF($L180&lt;&gt;"",$L180,IF(IFERROR(INDEX('Référentiel'!$D$2:$D$83,MATCH($C180,'Référentiel'!$A$2:$A$83,0)),0)&gt;0,IFERROR(INDEX('Référentiel'!$D$2:$D$83,MATCH($C180,'Référentiel'!$A$2:$A$83,0)),0),"")))="","",IF(AND(IFERROR(INDEX('Référentiel'!$F$2:$F$83,MATCH($C180,'Référentiel'!$A$2:$A$83,0)),0)&gt;0,N($J180)&gt;0),MIN(IF($M180&lt;&gt;"",IF($L180&lt;&gt;"",MIN($L180,$M180),$M180),IF($L180&lt;&gt;"",$L180,IF(IFERROR(INDEX('Référentiel'!$D$2:$D$83,MATCH($C180,'Référentiel'!$A$2:$A$83,0)),0)&gt;0,IFERROR(INDEX('Référentiel'!$D$2:$D$83,MATCH($C180,'Référentiel'!$A$2:$A$83,0)),0),""))),IFERROR(INDEX('Référentiel'!$F$2:$F$83,MATCH($C180,'Référentiel'!$A$2:$A$83,0)),0)),IF($M180&lt;&gt;"",IF($L180&lt;&gt;"",MIN($L180,$M180),$M180),IF($L180&lt;&gt;"",$L180,IF(IFERROR(INDEX('Référentiel'!$D$2:$D$83,MATCH($C180,'Référentiel'!$A$2:$A$83,0)),0)&gt;0,IFERROR(INDEX('Référentiel'!$D$2:$D$83,MATCH($C180,'Référentiel'!$A$2:$A$83,0)),0),""))))))</f>
      </c>
      <c r="O180" s="9"/>
      <c r="P180" s="23"/>
      <c r="Q180" s="9"/>
      <c r="R180" s="24"/>
      <c r="S180" s="23"/>
      <c r="T180" s="23"/>
      <c r="U180" s="24"/>
      <c r="V180" s="20">
        <f>IF($C180="","",IFERROR(INDEX('Référentiel'!$K$2:$K$83,MATCH($C180,'Référentiel'!$A$2:$A$83,0)),""))</f>
      </c>
      <c r="W180" s="20">
        <f>IF(AND(ISNUMBER($G180),$I180&lt;&gt;"Hors service",$I180&lt;&gt;"Location terminée"),$G180+ROW()/100000,"")</f>
      </c>
      <c r="X180" s="9"/>
    </row>
    <row r="181" spans="1:24" x14ac:dyDescent="0.25">
      <c r="A181" s="9"/>
      <c r="B181" s="9"/>
      <c r="C181" s="9"/>
      <c r="D181" s="9"/>
      <c r="E181" s="19">
        <f>IF($A181="","",IF(SUMPRODUCT(MAX((Vérifications!$B$2:$B$1001=$A181)*Vérifications!$L$2:$L$1001))=0,"",SUMPRODUCT(MAX((Vérifications!$B$2:$B$1001=$A181)*Vérifications!$L$2:$L$1001))))</f>
      </c>
      <c r="F181" s="20">
        <f>IF($E181="","",IFERROR(INDEX(Vérifications!$E$2:$E$1001,MATCH($A181&amp;"|"&amp;$E181,Vérifications!$M$2:$M$1001,0)),""))</f>
      </c>
      <c r="G181" s="19">
        <f>IF($N181="","",IF(ISNUMBER($E181),EDATE($E181,$N181),IF(AND(ISNUMBER($U181),IFERROR(INDEX('Référentiel'!$E$2:$E$83,MATCH($C181,'Référentiel'!$A$2:$A$83,0)),0)&gt;0),EDATE($U181,IFERROR(INDEX('Référentiel'!$E$2:$E$83,MATCH($C181,'Référentiel'!$A$2:$A$83,0)),0)),"")))</f>
      </c>
      <c r="H181" s="21">
        <f>IF(ISNUMBER($G181),$G181-TODAY(),"")</f>
      </c>
      <c r="I181" s="20">
        <f>IF(AND($A181="",$C181=""),"",IF($T181="Non","Hors service",IF(AND($Q181="Location",ISNUMBER($R181),$R181&lt;TODAY()),"Location terminée",IF(OR($F181="Mise à l'arrêt",IF($A181="",0,SUMPRODUCT((Réserves!$B$2:$B$301=$A181)*(Réserves!$E$2:$E$301="Mise à l'arrêt")*(Réserves!$J$2:$J$301&lt;&gt;"Levée")*(Réserves!$J$2:$J$301&lt;&gt;"")))&gt;0),"Arrêt : réserve à lever",IF($C181="","Type à choisir",IF($N181="","Périodicité à saisir",IF(OR(ISTEXT($U181),ISTEXT($R181)),"Date à corriger",IF(AND($E181="",$Q181="Location",$S181&lt;&gt;"Oui"),"Rapport loueur à obtenir",IF(NOT(ISNUMBER($G181)),"Vérif. initiale à tracer",IF($H181&lt;0,"En retard",IF(AND($Q181="Location",$S181&lt;&gt;"Oui"),"Rapport loueur à obtenir",IF($H181&lt;='Tableau de bord'!$C$4,"À planifier","À jour"))))))))))))</f>
      </c>
      <c r="J181" s="22">
        <f>IF($A181="","",COUNTIFS(Réserves!$B$2:$B$301,$A181,Réserves!$J$2:$J$301,"Ouverte")+COUNTIFS(Réserves!$B$2:$B$301,$A181,Réserves!$J$2:$J$301,"En retard"))</f>
      </c>
      <c r="K181" s="20">
        <f>IF($C181="","",IFERROR(INDEX('Référentiel'!$B$2:$B$83,MATCH($C181,'Référentiel'!$A$2:$A$83,0)),"Type hors liste"))</f>
      </c>
      <c r="L181" s="22">
        <f>IF($C181="","",IF(IFERROR(INDEX('Référentiel'!$C$2:$C$83,MATCH($C181,'Référentiel'!$A$2:$A$83,0)),0)=0,"",IFERROR(INDEX('Référentiel'!$C$2:$C$83,MATCH($C181,'Référentiel'!$A$2:$A$83,0)),0)))</f>
      </c>
      <c r="M181" s="23"/>
      <c r="N181" s="22">
        <f>IF($C181="","",IF(IF($M181&lt;&gt;"",IF($L181&lt;&gt;"",MIN($L181,$M181),$M181),IF($L181&lt;&gt;"",$L181,IF(IFERROR(INDEX('Référentiel'!$D$2:$D$83,MATCH($C181,'Référentiel'!$A$2:$A$83,0)),0)&gt;0,IFERROR(INDEX('Référentiel'!$D$2:$D$83,MATCH($C181,'Référentiel'!$A$2:$A$83,0)),0),"")))="","",IF(AND(IFERROR(INDEX('Référentiel'!$F$2:$F$83,MATCH($C181,'Référentiel'!$A$2:$A$83,0)),0)&gt;0,N($J181)&gt;0),MIN(IF($M181&lt;&gt;"",IF($L181&lt;&gt;"",MIN($L181,$M181),$M181),IF($L181&lt;&gt;"",$L181,IF(IFERROR(INDEX('Référentiel'!$D$2:$D$83,MATCH($C181,'Référentiel'!$A$2:$A$83,0)),0)&gt;0,IFERROR(INDEX('Référentiel'!$D$2:$D$83,MATCH($C181,'Référentiel'!$A$2:$A$83,0)),0),""))),IFERROR(INDEX('Référentiel'!$F$2:$F$83,MATCH($C181,'Référentiel'!$A$2:$A$83,0)),0)),IF($M181&lt;&gt;"",IF($L181&lt;&gt;"",MIN($L181,$M181),$M181),IF($L181&lt;&gt;"",$L181,IF(IFERROR(INDEX('Référentiel'!$D$2:$D$83,MATCH($C181,'Référentiel'!$A$2:$A$83,0)),0)&gt;0,IFERROR(INDEX('Référentiel'!$D$2:$D$83,MATCH($C181,'Référentiel'!$A$2:$A$83,0)),0),""))))))</f>
      </c>
      <c r="O181" s="9"/>
      <c r="P181" s="23"/>
      <c r="Q181" s="9"/>
      <c r="R181" s="24"/>
      <c r="S181" s="23"/>
      <c r="T181" s="23"/>
      <c r="U181" s="24"/>
      <c r="V181" s="20">
        <f>IF($C181="","",IFERROR(INDEX('Référentiel'!$K$2:$K$83,MATCH($C181,'Référentiel'!$A$2:$A$83,0)),""))</f>
      </c>
      <c r="W181" s="20">
        <f>IF(AND(ISNUMBER($G181),$I181&lt;&gt;"Hors service",$I181&lt;&gt;"Location terminée"),$G181+ROW()/100000,"")</f>
      </c>
      <c r="X181" s="9"/>
    </row>
    <row r="182" spans="1:24" x14ac:dyDescent="0.25">
      <c r="A182" s="9"/>
      <c r="B182" s="9"/>
      <c r="C182" s="9"/>
      <c r="D182" s="9"/>
      <c r="E182" s="19">
        <f>IF($A182="","",IF(SUMPRODUCT(MAX((Vérifications!$B$2:$B$1001=$A182)*Vérifications!$L$2:$L$1001))=0,"",SUMPRODUCT(MAX((Vérifications!$B$2:$B$1001=$A182)*Vérifications!$L$2:$L$1001))))</f>
      </c>
      <c r="F182" s="20">
        <f>IF($E182="","",IFERROR(INDEX(Vérifications!$E$2:$E$1001,MATCH($A182&amp;"|"&amp;$E182,Vérifications!$M$2:$M$1001,0)),""))</f>
      </c>
      <c r="G182" s="19">
        <f>IF($N182="","",IF(ISNUMBER($E182),EDATE($E182,$N182),IF(AND(ISNUMBER($U182),IFERROR(INDEX('Référentiel'!$E$2:$E$83,MATCH($C182,'Référentiel'!$A$2:$A$83,0)),0)&gt;0),EDATE($U182,IFERROR(INDEX('Référentiel'!$E$2:$E$83,MATCH($C182,'Référentiel'!$A$2:$A$83,0)),0)),"")))</f>
      </c>
      <c r="H182" s="21">
        <f>IF(ISNUMBER($G182),$G182-TODAY(),"")</f>
      </c>
      <c r="I182" s="20">
        <f>IF(AND($A182="",$C182=""),"",IF($T182="Non","Hors service",IF(AND($Q182="Location",ISNUMBER($R182),$R182&lt;TODAY()),"Location terminée",IF(OR($F182="Mise à l'arrêt",IF($A182="",0,SUMPRODUCT((Réserves!$B$2:$B$301=$A182)*(Réserves!$E$2:$E$301="Mise à l'arrêt")*(Réserves!$J$2:$J$301&lt;&gt;"Levée")*(Réserves!$J$2:$J$301&lt;&gt;"")))&gt;0),"Arrêt : réserve à lever",IF($C182="","Type à choisir",IF($N182="","Périodicité à saisir",IF(OR(ISTEXT($U182),ISTEXT($R182)),"Date à corriger",IF(AND($E182="",$Q182="Location",$S182&lt;&gt;"Oui"),"Rapport loueur à obtenir",IF(NOT(ISNUMBER($G182)),"Vérif. initiale à tracer",IF($H182&lt;0,"En retard",IF(AND($Q182="Location",$S182&lt;&gt;"Oui"),"Rapport loueur à obtenir",IF($H182&lt;='Tableau de bord'!$C$4,"À planifier","À jour"))))))))))))</f>
      </c>
      <c r="J182" s="22">
        <f>IF($A182="","",COUNTIFS(Réserves!$B$2:$B$301,$A182,Réserves!$J$2:$J$301,"Ouverte")+COUNTIFS(Réserves!$B$2:$B$301,$A182,Réserves!$J$2:$J$301,"En retard"))</f>
      </c>
      <c r="K182" s="20">
        <f>IF($C182="","",IFERROR(INDEX('Référentiel'!$B$2:$B$83,MATCH($C182,'Référentiel'!$A$2:$A$83,0)),"Type hors liste"))</f>
      </c>
      <c r="L182" s="22">
        <f>IF($C182="","",IF(IFERROR(INDEX('Référentiel'!$C$2:$C$83,MATCH($C182,'Référentiel'!$A$2:$A$83,0)),0)=0,"",IFERROR(INDEX('Référentiel'!$C$2:$C$83,MATCH($C182,'Référentiel'!$A$2:$A$83,0)),0)))</f>
      </c>
      <c r="M182" s="23"/>
      <c r="N182" s="22">
        <f>IF($C182="","",IF(IF($M182&lt;&gt;"",IF($L182&lt;&gt;"",MIN($L182,$M182),$M182),IF($L182&lt;&gt;"",$L182,IF(IFERROR(INDEX('Référentiel'!$D$2:$D$83,MATCH($C182,'Référentiel'!$A$2:$A$83,0)),0)&gt;0,IFERROR(INDEX('Référentiel'!$D$2:$D$83,MATCH($C182,'Référentiel'!$A$2:$A$83,0)),0),"")))="","",IF(AND(IFERROR(INDEX('Référentiel'!$F$2:$F$83,MATCH($C182,'Référentiel'!$A$2:$A$83,0)),0)&gt;0,N($J182)&gt;0),MIN(IF($M182&lt;&gt;"",IF($L182&lt;&gt;"",MIN($L182,$M182),$M182),IF($L182&lt;&gt;"",$L182,IF(IFERROR(INDEX('Référentiel'!$D$2:$D$83,MATCH($C182,'Référentiel'!$A$2:$A$83,0)),0)&gt;0,IFERROR(INDEX('Référentiel'!$D$2:$D$83,MATCH($C182,'Référentiel'!$A$2:$A$83,0)),0),""))),IFERROR(INDEX('Référentiel'!$F$2:$F$83,MATCH($C182,'Référentiel'!$A$2:$A$83,0)),0)),IF($M182&lt;&gt;"",IF($L182&lt;&gt;"",MIN($L182,$M182),$M182),IF($L182&lt;&gt;"",$L182,IF(IFERROR(INDEX('Référentiel'!$D$2:$D$83,MATCH($C182,'Référentiel'!$A$2:$A$83,0)),0)&gt;0,IFERROR(INDEX('Référentiel'!$D$2:$D$83,MATCH($C182,'Référentiel'!$A$2:$A$83,0)),0),""))))))</f>
      </c>
      <c r="O182" s="9"/>
      <c r="P182" s="23"/>
      <c r="Q182" s="9"/>
      <c r="R182" s="24"/>
      <c r="S182" s="23"/>
      <c r="T182" s="23"/>
      <c r="U182" s="24"/>
      <c r="V182" s="20">
        <f>IF($C182="","",IFERROR(INDEX('Référentiel'!$K$2:$K$83,MATCH($C182,'Référentiel'!$A$2:$A$83,0)),""))</f>
      </c>
      <c r="W182" s="20">
        <f>IF(AND(ISNUMBER($G182),$I182&lt;&gt;"Hors service",$I182&lt;&gt;"Location terminée"),$G182+ROW()/100000,"")</f>
      </c>
      <c r="X182" s="9"/>
    </row>
    <row r="183" spans="1:24" x14ac:dyDescent="0.25">
      <c r="A183" s="9"/>
      <c r="B183" s="9"/>
      <c r="C183" s="9"/>
      <c r="D183" s="9"/>
      <c r="E183" s="19">
        <f>IF($A183="","",IF(SUMPRODUCT(MAX((Vérifications!$B$2:$B$1001=$A183)*Vérifications!$L$2:$L$1001))=0,"",SUMPRODUCT(MAX((Vérifications!$B$2:$B$1001=$A183)*Vérifications!$L$2:$L$1001))))</f>
      </c>
      <c r="F183" s="20">
        <f>IF($E183="","",IFERROR(INDEX(Vérifications!$E$2:$E$1001,MATCH($A183&amp;"|"&amp;$E183,Vérifications!$M$2:$M$1001,0)),""))</f>
      </c>
      <c r="G183" s="19">
        <f>IF($N183="","",IF(ISNUMBER($E183),EDATE($E183,$N183),IF(AND(ISNUMBER($U183),IFERROR(INDEX('Référentiel'!$E$2:$E$83,MATCH($C183,'Référentiel'!$A$2:$A$83,0)),0)&gt;0),EDATE($U183,IFERROR(INDEX('Référentiel'!$E$2:$E$83,MATCH($C183,'Référentiel'!$A$2:$A$83,0)),0)),"")))</f>
      </c>
      <c r="H183" s="21">
        <f>IF(ISNUMBER($G183),$G183-TODAY(),"")</f>
      </c>
      <c r="I183" s="20">
        <f>IF(AND($A183="",$C183=""),"",IF($T183="Non","Hors service",IF(AND($Q183="Location",ISNUMBER($R183),$R183&lt;TODAY()),"Location terminée",IF(OR($F183="Mise à l'arrêt",IF($A183="",0,SUMPRODUCT((Réserves!$B$2:$B$301=$A183)*(Réserves!$E$2:$E$301="Mise à l'arrêt")*(Réserves!$J$2:$J$301&lt;&gt;"Levée")*(Réserves!$J$2:$J$301&lt;&gt;"")))&gt;0),"Arrêt : réserve à lever",IF($C183="","Type à choisir",IF($N183="","Périodicité à saisir",IF(OR(ISTEXT($U183),ISTEXT($R183)),"Date à corriger",IF(AND($E183="",$Q183="Location",$S183&lt;&gt;"Oui"),"Rapport loueur à obtenir",IF(NOT(ISNUMBER($G183)),"Vérif. initiale à tracer",IF($H183&lt;0,"En retard",IF(AND($Q183="Location",$S183&lt;&gt;"Oui"),"Rapport loueur à obtenir",IF($H183&lt;='Tableau de bord'!$C$4,"À planifier","À jour"))))))))))))</f>
      </c>
      <c r="J183" s="22">
        <f>IF($A183="","",COUNTIFS(Réserves!$B$2:$B$301,$A183,Réserves!$J$2:$J$301,"Ouverte")+COUNTIFS(Réserves!$B$2:$B$301,$A183,Réserves!$J$2:$J$301,"En retard"))</f>
      </c>
      <c r="K183" s="20">
        <f>IF($C183="","",IFERROR(INDEX('Référentiel'!$B$2:$B$83,MATCH($C183,'Référentiel'!$A$2:$A$83,0)),"Type hors liste"))</f>
      </c>
      <c r="L183" s="22">
        <f>IF($C183="","",IF(IFERROR(INDEX('Référentiel'!$C$2:$C$83,MATCH($C183,'Référentiel'!$A$2:$A$83,0)),0)=0,"",IFERROR(INDEX('Référentiel'!$C$2:$C$83,MATCH($C183,'Référentiel'!$A$2:$A$83,0)),0)))</f>
      </c>
      <c r="M183" s="23"/>
      <c r="N183" s="22">
        <f>IF($C183="","",IF(IF($M183&lt;&gt;"",IF($L183&lt;&gt;"",MIN($L183,$M183),$M183),IF($L183&lt;&gt;"",$L183,IF(IFERROR(INDEX('Référentiel'!$D$2:$D$83,MATCH($C183,'Référentiel'!$A$2:$A$83,0)),0)&gt;0,IFERROR(INDEX('Référentiel'!$D$2:$D$83,MATCH($C183,'Référentiel'!$A$2:$A$83,0)),0),"")))="","",IF(AND(IFERROR(INDEX('Référentiel'!$F$2:$F$83,MATCH($C183,'Référentiel'!$A$2:$A$83,0)),0)&gt;0,N($J183)&gt;0),MIN(IF($M183&lt;&gt;"",IF($L183&lt;&gt;"",MIN($L183,$M183),$M183),IF($L183&lt;&gt;"",$L183,IF(IFERROR(INDEX('Référentiel'!$D$2:$D$83,MATCH($C183,'Référentiel'!$A$2:$A$83,0)),0)&gt;0,IFERROR(INDEX('Référentiel'!$D$2:$D$83,MATCH($C183,'Référentiel'!$A$2:$A$83,0)),0),""))),IFERROR(INDEX('Référentiel'!$F$2:$F$83,MATCH($C183,'Référentiel'!$A$2:$A$83,0)),0)),IF($M183&lt;&gt;"",IF($L183&lt;&gt;"",MIN($L183,$M183),$M183),IF($L183&lt;&gt;"",$L183,IF(IFERROR(INDEX('Référentiel'!$D$2:$D$83,MATCH($C183,'Référentiel'!$A$2:$A$83,0)),0)&gt;0,IFERROR(INDEX('Référentiel'!$D$2:$D$83,MATCH($C183,'Référentiel'!$A$2:$A$83,0)),0),""))))))</f>
      </c>
      <c r="O183" s="9"/>
      <c r="P183" s="23"/>
      <c r="Q183" s="9"/>
      <c r="R183" s="24"/>
      <c r="S183" s="23"/>
      <c r="T183" s="23"/>
      <c r="U183" s="24"/>
      <c r="V183" s="20">
        <f>IF($C183="","",IFERROR(INDEX('Référentiel'!$K$2:$K$83,MATCH($C183,'Référentiel'!$A$2:$A$83,0)),""))</f>
      </c>
      <c r="W183" s="20">
        <f>IF(AND(ISNUMBER($G183),$I183&lt;&gt;"Hors service",$I183&lt;&gt;"Location terminée"),$G183+ROW()/100000,"")</f>
      </c>
      <c r="X183" s="9"/>
    </row>
    <row r="184" spans="1:24" x14ac:dyDescent="0.25">
      <c r="A184" s="9"/>
      <c r="B184" s="9"/>
      <c r="C184" s="9"/>
      <c r="D184" s="9"/>
      <c r="E184" s="19">
        <f>IF($A184="","",IF(SUMPRODUCT(MAX((Vérifications!$B$2:$B$1001=$A184)*Vérifications!$L$2:$L$1001))=0,"",SUMPRODUCT(MAX((Vérifications!$B$2:$B$1001=$A184)*Vérifications!$L$2:$L$1001))))</f>
      </c>
      <c r="F184" s="20">
        <f>IF($E184="","",IFERROR(INDEX(Vérifications!$E$2:$E$1001,MATCH($A184&amp;"|"&amp;$E184,Vérifications!$M$2:$M$1001,0)),""))</f>
      </c>
      <c r="G184" s="19">
        <f>IF($N184="","",IF(ISNUMBER($E184),EDATE($E184,$N184),IF(AND(ISNUMBER($U184),IFERROR(INDEX('Référentiel'!$E$2:$E$83,MATCH($C184,'Référentiel'!$A$2:$A$83,0)),0)&gt;0),EDATE($U184,IFERROR(INDEX('Référentiel'!$E$2:$E$83,MATCH($C184,'Référentiel'!$A$2:$A$83,0)),0)),"")))</f>
      </c>
      <c r="H184" s="21">
        <f>IF(ISNUMBER($G184),$G184-TODAY(),"")</f>
      </c>
      <c r="I184" s="20">
        <f>IF(AND($A184="",$C184=""),"",IF($T184="Non","Hors service",IF(AND($Q184="Location",ISNUMBER($R184),$R184&lt;TODAY()),"Location terminée",IF(OR($F184="Mise à l'arrêt",IF($A184="",0,SUMPRODUCT((Réserves!$B$2:$B$301=$A184)*(Réserves!$E$2:$E$301="Mise à l'arrêt")*(Réserves!$J$2:$J$301&lt;&gt;"Levée")*(Réserves!$J$2:$J$301&lt;&gt;"")))&gt;0),"Arrêt : réserve à lever",IF($C184="","Type à choisir",IF($N184="","Périodicité à saisir",IF(OR(ISTEXT($U184),ISTEXT($R184)),"Date à corriger",IF(AND($E184="",$Q184="Location",$S184&lt;&gt;"Oui"),"Rapport loueur à obtenir",IF(NOT(ISNUMBER($G184)),"Vérif. initiale à tracer",IF($H184&lt;0,"En retard",IF(AND($Q184="Location",$S184&lt;&gt;"Oui"),"Rapport loueur à obtenir",IF($H184&lt;='Tableau de bord'!$C$4,"À planifier","À jour"))))))))))))</f>
      </c>
      <c r="J184" s="22">
        <f>IF($A184="","",COUNTIFS(Réserves!$B$2:$B$301,$A184,Réserves!$J$2:$J$301,"Ouverte")+COUNTIFS(Réserves!$B$2:$B$301,$A184,Réserves!$J$2:$J$301,"En retard"))</f>
      </c>
      <c r="K184" s="20">
        <f>IF($C184="","",IFERROR(INDEX('Référentiel'!$B$2:$B$83,MATCH($C184,'Référentiel'!$A$2:$A$83,0)),"Type hors liste"))</f>
      </c>
      <c r="L184" s="22">
        <f>IF($C184="","",IF(IFERROR(INDEX('Référentiel'!$C$2:$C$83,MATCH($C184,'Référentiel'!$A$2:$A$83,0)),0)=0,"",IFERROR(INDEX('Référentiel'!$C$2:$C$83,MATCH($C184,'Référentiel'!$A$2:$A$83,0)),0)))</f>
      </c>
      <c r="M184" s="23"/>
      <c r="N184" s="22">
        <f>IF($C184="","",IF(IF($M184&lt;&gt;"",IF($L184&lt;&gt;"",MIN($L184,$M184),$M184),IF($L184&lt;&gt;"",$L184,IF(IFERROR(INDEX('Référentiel'!$D$2:$D$83,MATCH($C184,'Référentiel'!$A$2:$A$83,0)),0)&gt;0,IFERROR(INDEX('Référentiel'!$D$2:$D$83,MATCH($C184,'Référentiel'!$A$2:$A$83,0)),0),"")))="","",IF(AND(IFERROR(INDEX('Référentiel'!$F$2:$F$83,MATCH($C184,'Référentiel'!$A$2:$A$83,0)),0)&gt;0,N($J184)&gt;0),MIN(IF($M184&lt;&gt;"",IF($L184&lt;&gt;"",MIN($L184,$M184),$M184),IF($L184&lt;&gt;"",$L184,IF(IFERROR(INDEX('Référentiel'!$D$2:$D$83,MATCH($C184,'Référentiel'!$A$2:$A$83,0)),0)&gt;0,IFERROR(INDEX('Référentiel'!$D$2:$D$83,MATCH($C184,'Référentiel'!$A$2:$A$83,0)),0),""))),IFERROR(INDEX('Référentiel'!$F$2:$F$83,MATCH($C184,'Référentiel'!$A$2:$A$83,0)),0)),IF($M184&lt;&gt;"",IF($L184&lt;&gt;"",MIN($L184,$M184),$M184),IF($L184&lt;&gt;"",$L184,IF(IFERROR(INDEX('Référentiel'!$D$2:$D$83,MATCH($C184,'Référentiel'!$A$2:$A$83,0)),0)&gt;0,IFERROR(INDEX('Référentiel'!$D$2:$D$83,MATCH($C184,'Référentiel'!$A$2:$A$83,0)),0),""))))))</f>
      </c>
      <c r="O184" s="9"/>
      <c r="P184" s="23"/>
      <c r="Q184" s="9"/>
      <c r="R184" s="24"/>
      <c r="S184" s="23"/>
      <c r="T184" s="23"/>
      <c r="U184" s="24"/>
      <c r="V184" s="20">
        <f>IF($C184="","",IFERROR(INDEX('Référentiel'!$K$2:$K$83,MATCH($C184,'Référentiel'!$A$2:$A$83,0)),""))</f>
      </c>
      <c r="W184" s="20">
        <f>IF(AND(ISNUMBER($G184),$I184&lt;&gt;"Hors service",$I184&lt;&gt;"Location terminée"),$G184+ROW()/100000,"")</f>
      </c>
      <c r="X184" s="9"/>
    </row>
    <row r="185" spans="1:24" x14ac:dyDescent="0.25">
      <c r="A185" s="9"/>
      <c r="B185" s="9"/>
      <c r="C185" s="9"/>
      <c r="D185" s="9"/>
      <c r="E185" s="19">
        <f>IF($A185="","",IF(SUMPRODUCT(MAX((Vérifications!$B$2:$B$1001=$A185)*Vérifications!$L$2:$L$1001))=0,"",SUMPRODUCT(MAX((Vérifications!$B$2:$B$1001=$A185)*Vérifications!$L$2:$L$1001))))</f>
      </c>
      <c r="F185" s="20">
        <f>IF($E185="","",IFERROR(INDEX(Vérifications!$E$2:$E$1001,MATCH($A185&amp;"|"&amp;$E185,Vérifications!$M$2:$M$1001,0)),""))</f>
      </c>
      <c r="G185" s="19">
        <f>IF($N185="","",IF(ISNUMBER($E185),EDATE($E185,$N185),IF(AND(ISNUMBER($U185),IFERROR(INDEX('Référentiel'!$E$2:$E$83,MATCH($C185,'Référentiel'!$A$2:$A$83,0)),0)&gt;0),EDATE($U185,IFERROR(INDEX('Référentiel'!$E$2:$E$83,MATCH($C185,'Référentiel'!$A$2:$A$83,0)),0)),"")))</f>
      </c>
      <c r="H185" s="21">
        <f>IF(ISNUMBER($G185),$G185-TODAY(),"")</f>
      </c>
      <c r="I185" s="20">
        <f>IF(AND($A185="",$C185=""),"",IF($T185="Non","Hors service",IF(AND($Q185="Location",ISNUMBER($R185),$R185&lt;TODAY()),"Location terminée",IF(OR($F185="Mise à l'arrêt",IF($A185="",0,SUMPRODUCT((Réserves!$B$2:$B$301=$A185)*(Réserves!$E$2:$E$301="Mise à l'arrêt")*(Réserves!$J$2:$J$301&lt;&gt;"Levée")*(Réserves!$J$2:$J$301&lt;&gt;"")))&gt;0),"Arrêt : réserve à lever",IF($C185="","Type à choisir",IF($N185="","Périodicité à saisir",IF(OR(ISTEXT($U185),ISTEXT($R185)),"Date à corriger",IF(AND($E185="",$Q185="Location",$S185&lt;&gt;"Oui"),"Rapport loueur à obtenir",IF(NOT(ISNUMBER($G185)),"Vérif. initiale à tracer",IF($H185&lt;0,"En retard",IF(AND($Q185="Location",$S185&lt;&gt;"Oui"),"Rapport loueur à obtenir",IF($H185&lt;='Tableau de bord'!$C$4,"À planifier","À jour"))))))))))))</f>
      </c>
      <c r="J185" s="22">
        <f>IF($A185="","",COUNTIFS(Réserves!$B$2:$B$301,$A185,Réserves!$J$2:$J$301,"Ouverte")+COUNTIFS(Réserves!$B$2:$B$301,$A185,Réserves!$J$2:$J$301,"En retard"))</f>
      </c>
      <c r="K185" s="20">
        <f>IF($C185="","",IFERROR(INDEX('Référentiel'!$B$2:$B$83,MATCH($C185,'Référentiel'!$A$2:$A$83,0)),"Type hors liste"))</f>
      </c>
      <c r="L185" s="22">
        <f>IF($C185="","",IF(IFERROR(INDEX('Référentiel'!$C$2:$C$83,MATCH($C185,'Référentiel'!$A$2:$A$83,0)),0)=0,"",IFERROR(INDEX('Référentiel'!$C$2:$C$83,MATCH($C185,'Référentiel'!$A$2:$A$83,0)),0)))</f>
      </c>
      <c r="M185" s="23"/>
      <c r="N185" s="22">
        <f>IF($C185="","",IF(IF($M185&lt;&gt;"",IF($L185&lt;&gt;"",MIN($L185,$M185),$M185),IF($L185&lt;&gt;"",$L185,IF(IFERROR(INDEX('Référentiel'!$D$2:$D$83,MATCH($C185,'Référentiel'!$A$2:$A$83,0)),0)&gt;0,IFERROR(INDEX('Référentiel'!$D$2:$D$83,MATCH($C185,'Référentiel'!$A$2:$A$83,0)),0),"")))="","",IF(AND(IFERROR(INDEX('Référentiel'!$F$2:$F$83,MATCH($C185,'Référentiel'!$A$2:$A$83,0)),0)&gt;0,N($J185)&gt;0),MIN(IF($M185&lt;&gt;"",IF($L185&lt;&gt;"",MIN($L185,$M185),$M185),IF($L185&lt;&gt;"",$L185,IF(IFERROR(INDEX('Référentiel'!$D$2:$D$83,MATCH($C185,'Référentiel'!$A$2:$A$83,0)),0)&gt;0,IFERROR(INDEX('Référentiel'!$D$2:$D$83,MATCH($C185,'Référentiel'!$A$2:$A$83,0)),0),""))),IFERROR(INDEX('Référentiel'!$F$2:$F$83,MATCH($C185,'Référentiel'!$A$2:$A$83,0)),0)),IF($M185&lt;&gt;"",IF($L185&lt;&gt;"",MIN($L185,$M185),$M185),IF($L185&lt;&gt;"",$L185,IF(IFERROR(INDEX('Référentiel'!$D$2:$D$83,MATCH($C185,'Référentiel'!$A$2:$A$83,0)),0)&gt;0,IFERROR(INDEX('Référentiel'!$D$2:$D$83,MATCH($C185,'Référentiel'!$A$2:$A$83,0)),0),""))))))</f>
      </c>
      <c r="O185" s="9"/>
      <c r="P185" s="23"/>
      <c r="Q185" s="9"/>
      <c r="R185" s="24"/>
      <c r="S185" s="23"/>
      <c r="T185" s="23"/>
      <c r="U185" s="24"/>
      <c r="V185" s="20">
        <f>IF($C185="","",IFERROR(INDEX('Référentiel'!$K$2:$K$83,MATCH($C185,'Référentiel'!$A$2:$A$83,0)),""))</f>
      </c>
      <c r="W185" s="20">
        <f>IF(AND(ISNUMBER($G185),$I185&lt;&gt;"Hors service",$I185&lt;&gt;"Location terminée"),$G185+ROW()/100000,"")</f>
      </c>
      <c r="X185" s="9"/>
    </row>
    <row r="186" spans="1:24" x14ac:dyDescent="0.25">
      <c r="A186" s="9"/>
      <c r="B186" s="9"/>
      <c r="C186" s="9"/>
      <c r="D186" s="9"/>
      <c r="E186" s="19">
        <f>IF($A186="","",IF(SUMPRODUCT(MAX((Vérifications!$B$2:$B$1001=$A186)*Vérifications!$L$2:$L$1001))=0,"",SUMPRODUCT(MAX((Vérifications!$B$2:$B$1001=$A186)*Vérifications!$L$2:$L$1001))))</f>
      </c>
      <c r="F186" s="20">
        <f>IF($E186="","",IFERROR(INDEX(Vérifications!$E$2:$E$1001,MATCH($A186&amp;"|"&amp;$E186,Vérifications!$M$2:$M$1001,0)),""))</f>
      </c>
      <c r="G186" s="19">
        <f>IF($N186="","",IF(ISNUMBER($E186),EDATE($E186,$N186),IF(AND(ISNUMBER($U186),IFERROR(INDEX('Référentiel'!$E$2:$E$83,MATCH($C186,'Référentiel'!$A$2:$A$83,0)),0)&gt;0),EDATE($U186,IFERROR(INDEX('Référentiel'!$E$2:$E$83,MATCH($C186,'Référentiel'!$A$2:$A$83,0)),0)),"")))</f>
      </c>
      <c r="H186" s="21">
        <f>IF(ISNUMBER($G186),$G186-TODAY(),"")</f>
      </c>
      <c r="I186" s="20">
        <f>IF(AND($A186="",$C186=""),"",IF($T186="Non","Hors service",IF(AND($Q186="Location",ISNUMBER($R186),$R186&lt;TODAY()),"Location terminée",IF(OR($F186="Mise à l'arrêt",IF($A186="",0,SUMPRODUCT((Réserves!$B$2:$B$301=$A186)*(Réserves!$E$2:$E$301="Mise à l'arrêt")*(Réserves!$J$2:$J$301&lt;&gt;"Levée")*(Réserves!$J$2:$J$301&lt;&gt;"")))&gt;0),"Arrêt : réserve à lever",IF($C186="","Type à choisir",IF($N186="","Périodicité à saisir",IF(OR(ISTEXT($U186),ISTEXT($R186)),"Date à corriger",IF(AND($E186="",$Q186="Location",$S186&lt;&gt;"Oui"),"Rapport loueur à obtenir",IF(NOT(ISNUMBER($G186)),"Vérif. initiale à tracer",IF($H186&lt;0,"En retard",IF(AND($Q186="Location",$S186&lt;&gt;"Oui"),"Rapport loueur à obtenir",IF($H186&lt;='Tableau de bord'!$C$4,"À planifier","À jour"))))))))))))</f>
      </c>
      <c r="J186" s="22">
        <f>IF($A186="","",COUNTIFS(Réserves!$B$2:$B$301,$A186,Réserves!$J$2:$J$301,"Ouverte")+COUNTIFS(Réserves!$B$2:$B$301,$A186,Réserves!$J$2:$J$301,"En retard"))</f>
      </c>
      <c r="K186" s="20">
        <f>IF($C186="","",IFERROR(INDEX('Référentiel'!$B$2:$B$83,MATCH($C186,'Référentiel'!$A$2:$A$83,0)),"Type hors liste"))</f>
      </c>
      <c r="L186" s="22">
        <f>IF($C186="","",IF(IFERROR(INDEX('Référentiel'!$C$2:$C$83,MATCH($C186,'Référentiel'!$A$2:$A$83,0)),0)=0,"",IFERROR(INDEX('Référentiel'!$C$2:$C$83,MATCH($C186,'Référentiel'!$A$2:$A$83,0)),0)))</f>
      </c>
      <c r="M186" s="23"/>
      <c r="N186" s="22">
        <f>IF($C186="","",IF(IF($M186&lt;&gt;"",IF($L186&lt;&gt;"",MIN($L186,$M186),$M186),IF($L186&lt;&gt;"",$L186,IF(IFERROR(INDEX('Référentiel'!$D$2:$D$83,MATCH($C186,'Référentiel'!$A$2:$A$83,0)),0)&gt;0,IFERROR(INDEX('Référentiel'!$D$2:$D$83,MATCH($C186,'Référentiel'!$A$2:$A$83,0)),0),"")))="","",IF(AND(IFERROR(INDEX('Référentiel'!$F$2:$F$83,MATCH($C186,'Référentiel'!$A$2:$A$83,0)),0)&gt;0,N($J186)&gt;0),MIN(IF($M186&lt;&gt;"",IF($L186&lt;&gt;"",MIN($L186,$M186),$M186),IF($L186&lt;&gt;"",$L186,IF(IFERROR(INDEX('Référentiel'!$D$2:$D$83,MATCH($C186,'Référentiel'!$A$2:$A$83,0)),0)&gt;0,IFERROR(INDEX('Référentiel'!$D$2:$D$83,MATCH($C186,'Référentiel'!$A$2:$A$83,0)),0),""))),IFERROR(INDEX('Référentiel'!$F$2:$F$83,MATCH($C186,'Référentiel'!$A$2:$A$83,0)),0)),IF($M186&lt;&gt;"",IF($L186&lt;&gt;"",MIN($L186,$M186),$M186),IF($L186&lt;&gt;"",$L186,IF(IFERROR(INDEX('Référentiel'!$D$2:$D$83,MATCH($C186,'Référentiel'!$A$2:$A$83,0)),0)&gt;0,IFERROR(INDEX('Référentiel'!$D$2:$D$83,MATCH($C186,'Référentiel'!$A$2:$A$83,0)),0),""))))))</f>
      </c>
      <c r="O186" s="9"/>
      <c r="P186" s="23"/>
      <c r="Q186" s="9"/>
      <c r="R186" s="24"/>
      <c r="S186" s="23"/>
      <c r="T186" s="23"/>
      <c r="U186" s="24"/>
      <c r="V186" s="20">
        <f>IF($C186="","",IFERROR(INDEX('Référentiel'!$K$2:$K$83,MATCH($C186,'Référentiel'!$A$2:$A$83,0)),""))</f>
      </c>
      <c r="W186" s="20">
        <f>IF(AND(ISNUMBER($G186),$I186&lt;&gt;"Hors service",$I186&lt;&gt;"Location terminée"),$G186+ROW()/100000,"")</f>
      </c>
      <c r="X186" s="9"/>
    </row>
    <row r="187" spans="1:24" x14ac:dyDescent="0.25">
      <c r="A187" s="9"/>
      <c r="B187" s="9"/>
      <c r="C187" s="9"/>
      <c r="D187" s="9"/>
      <c r="E187" s="19">
        <f>IF($A187="","",IF(SUMPRODUCT(MAX((Vérifications!$B$2:$B$1001=$A187)*Vérifications!$L$2:$L$1001))=0,"",SUMPRODUCT(MAX((Vérifications!$B$2:$B$1001=$A187)*Vérifications!$L$2:$L$1001))))</f>
      </c>
      <c r="F187" s="20">
        <f>IF($E187="","",IFERROR(INDEX(Vérifications!$E$2:$E$1001,MATCH($A187&amp;"|"&amp;$E187,Vérifications!$M$2:$M$1001,0)),""))</f>
      </c>
      <c r="G187" s="19">
        <f>IF($N187="","",IF(ISNUMBER($E187),EDATE($E187,$N187),IF(AND(ISNUMBER($U187),IFERROR(INDEX('Référentiel'!$E$2:$E$83,MATCH($C187,'Référentiel'!$A$2:$A$83,0)),0)&gt;0),EDATE($U187,IFERROR(INDEX('Référentiel'!$E$2:$E$83,MATCH($C187,'Référentiel'!$A$2:$A$83,0)),0)),"")))</f>
      </c>
      <c r="H187" s="21">
        <f>IF(ISNUMBER($G187),$G187-TODAY(),"")</f>
      </c>
      <c r="I187" s="20">
        <f>IF(AND($A187="",$C187=""),"",IF($T187="Non","Hors service",IF(AND($Q187="Location",ISNUMBER($R187),$R187&lt;TODAY()),"Location terminée",IF(OR($F187="Mise à l'arrêt",IF($A187="",0,SUMPRODUCT((Réserves!$B$2:$B$301=$A187)*(Réserves!$E$2:$E$301="Mise à l'arrêt")*(Réserves!$J$2:$J$301&lt;&gt;"Levée")*(Réserves!$J$2:$J$301&lt;&gt;"")))&gt;0),"Arrêt : réserve à lever",IF($C187="","Type à choisir",IF($N187="","Périodicité à saisir",IF(OR(ISTEXT($U187),ISTEXT($R187)),"Date à corriger",IF(AND($E187="",$Q187="Location",$S187&lt;&gt;"Oui"),"Rapport loueur à obtenir",IF(NOT(ISNUMBER($G187)),"Vérif. initiale à tracer",IF($H187&lt;0,"En retard",IF(AND($Q187="Location",$S187&lt;&gt;"Oui"),"Rapport loueur à obtenir",IF($H187&lt;='Tableau de bord'!$C$4,"À planifier","À jour"))))))))))))</f>
      </c>
      <c r="J187" s="22">
        <f>IF($A187="","",COUNTIFS(Réserves!$B$2:$B$301,$A187,Réserves!$J$2:$J$301,"Ouverte")+COUNTIFS(Réserves!$B$2:$B$301,$A187,Réserves!$J$2:$J$301,"En retard"))</f>
      </c>
      <c r="K187" s="20">
        <f>IF($C187="","",IFERROR(INDEX('Référentiel'!$B$2:$B$83,MATCH($C187,'Référentiel'!$A$2:$A$83,0)),"Type hors liste"))</f>
      </c>
      <c r="L187" s="22">
        <f>IF($C187="","",IF(IFERROR(INDEX('Référentiel'!$C$2:$C$83,MATCH($C187,'Référentiel'!$A$2:$A$83,0)),0)=0,"",IFERROR(INDEX('Référentiel'!$C$2:$C$83,MATCH($C187,'Référentiel'!$A$2:$A$83,0)),0)))</f>
      </c>
      <c r="M187" s="23"/>
      <c r="N187" s="22">
        <f>IF($C187="","",IF(IF($M187&lt;&gt;"",IF($L187&lt;&gt;"",MIN($L187,$M187),$M187),IF($L187&lt;&gt;"",$L187,IF(IFERROR(INDEX('Référentiel'!$D$2:$D$83,MATCH($C187,'Référentiel'!$A$2:$A$83,0)),0)&gt;0,IFERROR(INDEX('Référentiel'!$D$2:$D$83,MATCH($C187,'Référentiel'!$A$2:$A$83,0)),0),"")))="","",IF(AND(IFERROR(INDEX('Référentiel'!$F$2:$F$83,MATCH($C187,'Référentiel'!$A$2:$A$83,0)),0)&gt;0,N($J187)&gt;0),MIN(IF($M187&lt;&gt;"",IF($L187&lt;&gt;"",MIN($L187,$M187),$M187),IF($L187&lt;&gt;"",$L187,IF(IFERROR(INDEX('Référentiel'!$D$2:$D$83,MATCH($C187,'Référentiel'!$A$2:$A$83,0)),0)&gt;0,IFERROR(INDEX('Référentiel'!$D$2:$D$83,MATCH($C187,'Référentiel'!$A$2:$A$83,0)),0),""))),IFERROR(INDEX('Référentiel'!$F$2:$F$83,MATCH($C187,'Référentiel'!$A$2:$A$83,0)),0)),IF($M187&lt;&gt;"",IF($L187&lt;&gt;"",MIN($L187,$M187),$M187),IF($L187&lt;&gt;"",$L187,IF(IFERROR(INDEX('Référentiel'!$D$2:$D$83,MATCH($C187,'Référentiel'!$A$2:$A$83,0)),0)&gt;0,IFERROR(INDEX('Référentiel'!$D$2:$D$83,MATCH($C187,'Référentiel'!$A$2:$A$83,0)),0),""))))))</f>
      </c>
      <c r="O187" s="9"/>
      <c r="P187" s="23"/>
      <c r="Q187" s="9"/>
      <c r="R187" s="24"/>
      <c r="S187" s="23"/>
      <c r="T187" s="23"/>
      <c r="U187" s="24"/>
      <c r="V187" s="20">
        <f>IF($C187="","",IFERROR(INDEX('Référentiel'!$K$2:$K$83,MATCH($C187,'Référentiel'!$A$2:$A$83,0)),""))</f>
      </c>
      <c r="W187" s="20">
        <f>IF(AND(ISNUMBER($G187),$I187&lt;&gt;"Hors service",$I187&lt;&gt;"Location terminée"),$G187+ROW()/100000,"")</f>
      </c>
      <c r="X187" s="9"/>
    </row>
    <row r="188" spans="1:24" x14ac:dyDescent="0.25">
      <c r="A188" s="9"/>
      <c r="B188" s="9"/>
      <c r="C188" s="9"/>
      <c r="D188" s="9"/>
      <c r="E188" s="19">
        <f>IF($A188="","",IF(SUMPRODUCT(MAX((Vérifications!$B$2:$B$1001=$A188)*Vérifications!$L$2:$L$1001))=0,"",SUMPRODUCT(MAX((Vérifications!$B$2:$B$1001=$A188)*Vérifications!$L$2:$L$1001))))</f>
      </c>
      <c r="F188" s="20">
        <f>IF($E188="","",IFERROR(INDEX(Vérifications!$E$2:$E$1001,MATCH($A188&amp;"|"&amp;$E188,Vérifications!$M$2:$M$1001,0)),""))</f>
      </c>
      <c r="G188" s="19">
        <f>IF($N188="","",IF(ISNUMBER($E188),EDATE($E188,$N188),IF(AND(ISNUMBER($U188),IFERROR(INDEX('Référentiel'!$E$2:$E$83,MATCH($C188,'Référentiel'!$A$2:$A$83,0)),0)&gt;0),EDATE($U188,IFERROR(INDEX('Référentiel'!$E$2:$E$83,MATCH($C188,'Référentiel'!$A$2:$A$83,0)),0)),"")))</f>
      </c>
      <c r="H188" s="21">
        <f>IF(ISNUMBER($G188),$G188-TODAY(),"")</f>
      </c>
      <c r="I188" s="20">
        <f>IF(AND($A188="",$C188=""),"",IF($T188="Non","Hors service",IF(AND($Q188="Location",ISNUMBER($R188),$R188&lt;TODAY()),"Location terminée",IF(OR($F188="Mise à l'arrêt",IF($A188="",0,SUMPRODUCT((Réserves!$B$2:$B$301=$A188)*(Réserves!$E$2:$E$301="Mise à l'arrêt")*(Réserves!$J$2:$J$301&lt;&gt;"Levée")*(Réserves!$J$2:$J$301&lt;&gt;"")))&gt;0),"Arrêt : réserve à lever",IF($C188="","Type à choisir",IF($N188="","Périodicité à saisir",IF(OR(ISTEXT($U188),ISTEXT($R188)),"Date à corriger",IF(AND($E188="",$Q188="Location",$S188&lt;&gt;"Oui"),"Rapport loueur à obtenir",IF(NOT(ISNUMBER($G188)),"Vérif. initiale à tracer",IF($H188&lt;0,"En retard",IF(AND($Q188="Location",$S188&lt;&gt;"Oui"),"Rapport loueur à obtenir",IF($H188&lt;='Tableau de bord'!$C$4,"À planifier","À jour"))))))))))))</f>
      </c>
      <c r="J188" s="22">
        <f>IF($A188="","",COUNTIFS(Réserves!$B$2:$B$301,$A188,Réserves!$J$2:$J$301,"Ouverte")+COUNTIFS(Réserves!$B$2:$B$301,$A188,Réserves!$J$2:$J$301,"En retard"))</f>
      </c>
      <c r="K188" s="20">
        <f>IF($C188="","",IFERROR(INDEX('Référentiel'!$B$2:$B$83,MATCH($C188,'Référentiel'!$A$2:$A$83,0)),"Type hors liste"))</f>
      </c>
      <c r="L188" s="22">
        <f>IF($C188="","",IF(IFERROR(INDEX('Référentiel'!$C$2:$C$83,MATCH($C188,'Référentiel'!$A$2:$A$83,0)),0)=0,"",IFERROR(INDEX('Référentiel'!$C$2:$C$83,MATCH($C188,'Référentiel'!$A$2:$A$83,0)),0)))</f>
      </c>
      <c r="M188" s="23"/>
      <c r="N188" s="22">
        <f>IF($C188="","",IF(IF($M188&lt;&gt;"",IF($L188&lt;&gt;"",MIN($L188,$M188),$M188),IF($L188&lt;&gt;"",$L188,IF(IFERROR(INDEX('Référentiel'!$D$2:$D$83,MATCH($C188,'Référentiel'!$A$2:$A$83,0)),0)&gt;0,IFERROR(INDEX('Référentiel'!$D$2:$D$83,MATCH($C188,'Référentiel'!$A$2:$A$83,0)),0),"")))="","",IF(AND(IFERROR(INDEX('Référentiel'!$F$2:$F$83,MATCH($C188,'Référentiel'!$A$2:$A$83,0)),0)&gt;0,N($J188)&gt;0),MIN(IF($M188&lt;&gt;"",IF($L188&lt;&gt;"",MIN($L188,$M188),$M188),IF($L188&lt;&gt;"",$L188,IF(IFERROR(INDEX('Référentiel'!$D$2:$D$83,MATCH($C188,'Référentiel'!$A$2:$A$83,0)),0)&gt;0,IFERROR(INDEX('Référentiel'!$D$2:$D$83,MATCH($C188,'Référentiel'!$A$2:$A$83,0)),0),""))),IFERROR(INDEX('Référentiel'!$F$2:$F$83,MATCH($C188,'Référentiel'!$A$2:$A$83,0)),0)),IF($M188&lt;&gt;"",IF($L188&lt;&gt;"",MIN($L188,$M188),$M188),IF($L188&lt;&gt;"",$L188,IF(IFERROR(INDEX('Référentiel'!$D$2:$D$83,MATCH($C188,'Référentiel'!$A$2:$A$83,0)),0)&gt;0,IFERROR(INDEX('Référentiel'!$D$2:$D$83,MATCH($C188,'Référentiel'!$A$2:$A$83,0)),0),""))))))</f>
      </c>
      <c r="O188" s="9"/>
      <c r="P188" s="23"/>
      <c r="Q188" s="9"/>
      <c r="R188" s="24"/>
      <c r="S188" s="23"/>
      <c r="T188" s="23"/>
      <c r="U188" s="24"/>
      <c r="V188" s="20">
        <f>IF($C188="","",IFERROR(INDEX('Référentiel'!$K$2:$K$83,MATCH($C188,'Référentiel'!$A$2:$A$83,0)),""))</f>
      </c>
      <c r="W188" s="20">
        <f>IF(AND(ISNUMBER($G188),$I188&lt;&gt;"Hors service",$I188&lt;&gt;"Location terminée"),$G188+ROW()/100000,"")</f>
      </c>
      <c r="X188" s="9"/>
    </row>
    <row r="189" spans="1:24" x14ac:dyDescent="0.25">
      <c r="A189" s="9"/>
      <c r="B189" s="9"/>
      <c r="C189" s="9"/>
      <c r="D189" s="9"/>
      <c r="E189" s="19">
        <f>IF($A189="","",IF(SUMPRODUCT(MAX((Vérifications!$B$2:$B$1001=$A189)*Vérifications!$L$2:$L$1001))=0,"",SUMPRODUCT(MAX((Vérifications!$B$2:$B$1001=$A189)*Vérifications!$L$2:$L$1001))))</f>
      </c>
      <c r="F189" s="20">
        <f>IF($E189="","",IFERROR(INDEX(Vérifications!$E$2:$E$1001,MATCH($A189&amp;"|"&amp;$E189,Vérifications!$M$2:$M$1001,0)),""))</f>
      </c>
      <c r="G189" s="19">
        <f>IF($N189="","",IF(ISNUMBER($E189),EDATE($E189,$N189),IF(AND(ISNUMBER($U189),IFERROR(INDEX('Référentiel'!$E$2:$E$83,MATCH($C189,'Référentiel'!$A$2:$A$83,0)),0)&gt;0),EDATE($U189,IFERROR(INDEX('Référentiel'!$E$2:$E$83,MATCH($C189,'Référentiel'!$A$2:$A$83,0)),0)),"")))</f>
      </c>
      <c r="H189" s="21">
        <f>IF(ISNUMBER($G189),$G189-TODAY(),"")</f>
      </c>
      <c r="I189" s="20">
        <f>IF(AND($A189="",$C189=""),"",IF($T189="Non","Hors service",IF(AND($Q189="Location",ISNUMBER($R189),$R189&lt;TODAY()),"Location terminée",IF(OR($F189="Mise à l'arrêt",IF($A189="",0,SUMPRODUCT((Réserves!$B$2:$B$301=$A189)*(Réserves!$E$2:$E$301="Mise à l'arrêt")*(Réserves!$J$2:$J$301&lt;&gt;"Levée")*(Réserves!$J$2:$J$301&lt;&gt;"")))&gt;0),"Arrêt : réserve à lever",IF($C189="","Type à choisir",IF($N189="","Périodicité à saisir",IF(OR(ISTEXT($U189),ISTEXT($R189)),"Date à corriger",IF(AND($E189="",$Q189="Location",$S189&lt;&gt;"Oui"),"Rapport loueur à obtenir",IF(NOT(ISNUMBER($G189)),"Vérif. initiale à tracer",IF($H189&lt;0,"En retard",IF(AND($Q189="Location",$S189&lt;&gt;"Oui"),"Rapport loueur à obtenir",IF($H189&lt;='Tableau de bord'!$C$4,"À planifier","À jour"))))))))))))</f>
      </c>
      <c r="J189" s="22">
        <f>IF($A189="","",COUNTIFS(Réserves!$B$2:$B$301,$A189,Réserves!$J$2:$J$301,"Ouverte")+COUNTIFS(Réserves!$B$2:$B$301,$A189,Réserves!$J$2:$J$301,"En retard"))</f>
      </c>
      <c r="K189" s="20">
        <f>IF($C189="","",IFERROR(INDEX('Référentiel'!$B$2:$B$83,MATCH($C189,'Référentiel'!$A$2:$A$83,0)),"Type hors liste"))</f>
      </c>
      <c r="L189" s="22">
        <f>IF($C189="","",IF(IFERROR(INDEX('Référentiel'!$C$2:$C$83,MATCH($C189,'Référentiel'!$A$2:$A$83,0)),0)=0,"",IFERROR(INDEX('Référentiel'!$C$2:$C$83,MATCH($C189,'Référentiel'!$A$2:$A$83,0)),0)))</f>
      </c>
      <c r="M189" s="23"/>
      <c r="N189" s="22">
        <f>IF($C189="","",IF(IF($M189&lt;&gt;"",IF($L189&lt;&gt;"",MIN($L189,$M189),$M189),IF($L189&lt;&gt;"",$L189,IF(IFERROR(INDEX('Référentiel'!$D$2:$D$83,MATCH($C189,'Référentiel'!$A$2:$A$83,0)),0)&gt;0,IFERROR(INDEX('Référentiel'!$D$2:$D$83,MATCH($C189,'Référentiel'!$A$2:$A$83,0)),0),"")))="","",IF(AND(IFERROR(INDEX('Référentiel'!$F$2:$F$83,MATCH($C189,'Référentiel'!$A$2:$A$83,0)),0)&gt;0,N($J189)&gt;0),MIN(IF($M189&lt;&gt;"",IF($L189&lt;&gt;"",MIN($L189,$M189),$M189),IF($L189&lt;&gt;"",$L189,IF(IFERROR(INDEX('Référentiel'!$D$2:$D$83,MATCH($C189,'Référentiel'!$A$2:$A$83,0)),0)&gt;0,IFERROR(INDEX('Référentiel'!$D$2:$D$83,MATCH($C189,'Référentiel'!$A$2:$A$83,0)),0),""))),IFERROR(INDEX('Référentiel'!$F$2:$F$83,MATCH($C189,'Référentiel'!$A$2:$A$83,0)),0)),IF($M189&lt;&gt;"",IF($L189&lt;&gt;"",MIN($L189,$M189),$M189),IF($L189&lt;&gt;"",$L189,IF(IFERROR(INDEX('Référentiel'!$D$2:$D$83,MATCH($C189,'Référentiel'!$A$2:$A$83,0)),0)&gt;0,IFERROR(INDEX('Référentiel'!$D$2:$D$83,MATCH($C189,'Référentiel'!$A$2:$A$83,0)),0),""))))))</f>
      </c>
      <c r="O189" s="9"/>
      <c r="P189" s="23"/>
      <c r="Q189" s="9"/>
      <c r="R189" s="24"/>
      <c r="S189" s="23"/>
      <c r="T189" s="23"/>
      <c r="U189" s="24"/>
      <c r="V189" s="20">
        <f>IF($C189="","",IFERROR(INDEX('Référentiel'!$K$2:$K$83,MATCH($C189,'Référentiel'!$A$2:$A$83,0)),""))</f>
      </c>
      <c r="W189" s="20">
        <f>IF(AND(ISNUMBER($G189),$I189&lt;&gt;"Hors service",$I189&lt;&gt;"Location terminée"),$G189+ROW()/100000,"")</f>
      </c>
      <c r="X189" s="9"/>
    </row>
    <row r="190" spans="1:24" x14ac:dyDescent="0.25">
      <c r="A190" s="9"/>
      <c r="B190" s="9"/>
      <c r="C190" s="9"/>
      <c r="D190" s="9"/>
      <c r="E190" s="19">
        <f>IF($A190="","",IF(SUMPRODUCT(MAX((Vérifications!$B$2:$B$1001=$A190)*Vérifications!$L$2:$L$1001))=0,"",SUMPRODUCT(MAX((Vérifications!$B$2:$B$1001=$A190)*Vérifications!$L$2:$L$1001))))</f>
      </c>
      <c r="F190" s="20">
        <f>IF($E190="","",IFERROR(INDEX(Vérifications!$E$2:$E$1001,MATCH($A190&amp;"|"&amp;$E190,Vérifications!$M$2:$M$1001,0)),""))</f>
      </c>
      <c r="G190" s="19">
        <f>IF($N190="","",IF(ISNUMBER($E190),EDATE($E190,$N190),IF(AND(ISNUMBER($U190),IFERROR(INDEX('Référentiel'!$E$2:$E$83,MATCH($C190,'Référentiel'!$A$2:$A$83,0)),0)&gt;0),EDATE($U190,IFERROR(INDEX('Référentiel'!$E$2:$E$83,MATCH($C190,'Référentiel'!$A$2:$A$83,0)),0)),"")))</f>
      </c>
      <c r="H190" s="21">
        <f>IF(ISNUMBER($G190),$G190-TODAY(),"")</f>
      </c>
      <c r="I190" s="20">
        <f>IF(AND($A190="",$C190=""),"",IF($T190="Non","Hors service",IF(AND($Q190="Location",ISNUMBER($R190),$R190&lt;TODAY()),"Location terminée",IF(OR($F190="Mise à l'arrêt",IF($A190="",0,SUMPRODUCT((Réserves!$B$2:$B$301=$A190)*(Réserves!$E$2:$E$301="Mise à l'arrêt")*(Réserves!$J$2:$J$301&lt;&gt;"Levée")*(Réserves!$J$2:$J$301&lt;&gt;"")))&gt;0),"Arrêt : réserve à lever",IF($C190="","Type à choisir",IF($N190="","Périodicité à saisir",IF(OR(ISTEXT($U190),ISTEXT($R190)),"Date à corriger",IF(AND($E190="",$Q190="Location",$S190&lt;&gt;"Oui"),"Rapport loueur à obtenir",IF(NOT(ISNUMBER($G190)),"Vérif. initiale à tracer",IF($H190&lt;0,"En retard",IF(AND($Q190="Location",$S190&lt;&gt;"Oui"),"Rapport loueur à obtenir",IF($H190&lt;='Tableau de bord'!$C$4,"À planifier","À jour"))))))))))))</f>
      </c>
      <c r="J190" s="22">
        <f>IF($A190="","",COUNTIFS(Réserves!$B$2:$B$301,$A190,Réserves!$J$2:$J$301,"Ouverte")+COUNTIFS(Réserves!$B$2:$B$301,$A190,Réserves!$J$2:$J$301,"En retard"))</f>
      </c>
      <c r="K190" s="20">
        <f>IF($C190="","",IFERROR(INDEX('Référentiel'!$B$2:$B$83,MATCH($C190,'Référentiel'!$A$2:$A$83,0)),"Type hors liste"))</f>
      </c>
      <c r="L190" s="22">
        <f>IF($C190="","",IF(IFERROR(INDEX('Référentiel'!$C$2:$C$83,MATCH($C190,'Référentiel'!$A$2:$A$83,0)),0)=0,"",IFERROR(INDEX('Référentiel'!$C$2:$C$83,MATCH($C190,'Référentiel'!$A$2:$A$83,0)),0)))</f>
      </c>
      <c r="M190" s="23"/>
      <c r="N190" s="22">
        <f>IF($C190="","",IF(IF($M190&lt;&gt;"",IF($L190&lt;&gt;"",MIN($L190,$M190),$M190),IF($L190&lt;&gt;"",$L190,IF(IFERROR(INDEX('Référentiel'!$D$2:$D$83,MATCH($C190,'Référentiel'!$A$2:$A$83,0)),0)&gt;0,IFERROR(INDEX('Référentiel'!$D$2:$D$83,MATCH($C190,'Référentiel'!$A$2:$A$83,0)),0),"")))="","",IF(AND(IFERROR(INDEX('Référentiel'!$F$2:$F$83,MATCH($C190,'Référentiel'!$A$2:$A$83,0)),0)&gt;0,N($J190)&gt;0),MIN(IF($M190&lt;&gt;"",IF($L190&lt;&gt;"",MIN($L190,$M190),$M190),IF($L190&lt;&gt;"",$L190,IF(IFERROR(INDEX('Référentiel'!$D$2:$D$83,MATCH($C190,'Référentiel'!$A$2:$A$83,0)),0)&gt;0,IFERROR(INDEX('Référentiel'!$D$2:$D$83,MATCH($C190,'Référentiel'!$A$2:$A$83,0)),0),""))),IFERROR(INDEX('Référentiel'!$F$2:$F$83,MATCH($C190,'Référentiel'!$A$2:$A$83,0)),0)),IF($M190&lt;&gt;"",IF($L190&lt;&gt;"",MIN($L190,$M190),$M190),IF($L190&lt;&gt;"",$L190,IF(IFERROR(INDEX('Référentiel'!$D$2:$D$83,MATCH($C190,'Référentiel'!$A$2:$A$83,0)),0)&gt;0,IFERROR(INDEX('Référentiel'!$D$2:$D$83,MATCH($C190,'Référentiel'!$A$2:$A$83,0)),0),""))))))</f>
      </c>
      <c r="O190" s="9"/>
      <c r="P190" s="23"/>
      <c r="Q190" s="9"/>
      <c r="R190" s="24"/>
      <c r="S190" s="23"/>
      <c r="T190" s="23"/>
      <c r="U190" s="24"/>
      <c r="V190" s="20">
        <f>IF($C190="","",IFERROR(INDEX('Référentiel'!$K$2:$K$83,MATCH($C190,'Référentiel'!$A$2:$A$83,0)),""))</f>
      </c>
      <c r="W190" s="20">
        <f>IF(AND(ISNUMBER($G190),$I190&lt;&gt;"Hors service",$I190&lt;&gt;"Location terminée"),$G190+ROW()/100000,"")</f>
      </c>
      <c r="X190" s="9"/>
    </row>
    <row r="191" spans="1:24" x14ac:dyDescent="0.25">
      <c r="A191" s="9"/>
      <c r="B191" s="9"/>
      <c r="C191" s="9"/>
      <c r="D191" s="9"/>
      <c r="E191" s="19">
        <f>IF($A191="","",IF(SUMPRODUCT(MAX((Vérifications!$B$2:$B$1001=$A191)*Vérifications!$L$2:$L$1001))=0,"",SUMPRODUCT(MAX((Vérifications!$B$2:$B$1001=$A191)*Vérifications!$L$2:$L$1001))))</f>
      </c>
      <c r="F191" s="20">
        <f>IF($E191="","",IFERROR(INDEX(Vérifications!$E$2:$E$1001,MATCH($A191&amp;"|"&amp;$E191,Vérifications!$M$2:$M$1001,0)),""))</f>
      </c>
      <c r="G191" s="19">
        <f>IF($N191="","",IF(ISNUMBER($E191),EDATE($E191,$N191),IF(AND(ISNUMBER($U191),IFERROR(INDEX('Référentiel'!$E$2:$E$83,MATCH($C191,'Référentiel'!$A$2:$A$83,0)),0)&gt;0),EDATE($U191,IFERROR(INDEX('Référentiel'!$E$2:$E$83,MATCH($C191,'Référentiel'!$A$2:$A$83,0)),0)),"")))</f>
      </c>
      <c r="H191" s="21">
        <f>IF(ISNUMBER($G191),$G191-TODAY(),"")</f>
      </c>
      <c r="I191" s="20">
        <f>IF(AND($A191="",$C191=""),"",IF($T191="Non","Hors service",IF(AND($Q191="Location",ISNUMBER($R191),$R191&lt;TODAY()),"Location terminée",IF(OR($F191="Mise à l'arrêt",IF($A191="",0,SUMPRODUCT((Réserves!$B$2:$B$301=$A191)*(Réserves!$E$2:$E$301="Mise à l'arrêt")*(Réserves!$J$2:$J$301&lt;&gt;"Levée")*(Réserves!$J$2:$J$301&lt;&gt;"")))&gt;0),"Arrêt : réserve à lever",IF($C191="","Type à choisir",IF($N191="","Périodicité à saisir",IF(OR(ISTEXT($U191),ISTEXT($R191)),"Date à corriger",IF(AND($E191="",$Q191="Location",$S191&lt;&gt;"Oui"),"Rapport loueur à obtenir",IF(NOT(ISNUMBER($G191)),"Vérif. initiale à tracer",IF($H191&lt;0,"En retard",IF(AND($Q191="Location",$S191&lt;&gt;"Oui"),"Rapport loueur à obtenir",IF($H191&lt;='Tableau de bord'!$C$4,"À planifier","À jour"))))))))))))</f>
      </c>
      <c r="J191" s="22">
        <f>IF($A191="","",COUNTIFS(Réserves!$B$2:$B$301,$A191,Réserves!$J$2:$J$301,"Ouverte")+COUNTIFS(Réserves!$B$2:$B$301,$A191,Réserves!$J$2:$J$301,"En retard"))</f>
      </c>
      <c r="K191" s="20">
        <f>IF($C191="","",IFERROR(INDEX('Référentiel'!$B$2:$B$83,MATCH($C191,'Référentiel'!$A$2:$A$83,0)),"Type hors liste"))</f>
      </c>
      <c r="L191" s="22">
        <f>IF($C191="","",IF(IFERROR(INDEX('Référentiel'!$C$2:$C$83,MATCH($C191,'Référentiel'!$A$2:$A$83,0)),0)=0,"",IFERROR(INDEX('Référentiel'!$C$2:$C$83,MATCH($C191,'Référentiel'!$A$2:$A$83,0)),0)))</f>
      </c>
      <c r="M191" s="23"/>
      <c r="N191" s="22">
        <f>IF($C191="","",IF(IF($M191&lt;&gt;"",IF($L191&lt;&gt;"",MIN($L191,$M191),$M191),IF($L191&lt;&gt;"",$L191,IF(IFERROR(INDEX('Référentiel'!$D$2:$D$83,MATCH($C191,'Référentiel'!$A$2:$A$83,0)),0)&gt;0,IFERROR(INDEX('Référentiel'!$D$2:$D$83,MATCH($C191,'Référentiel'!$A$2:$A$83,0)),0),"")))="","",IF(AND(IFERROR(INDEX('Référentiel'!$F$2:$F$83,MATCH($C191,'Référentiel'!$A$2:$A$83,0)),0)&gt;0,N($J191)&gt;0),MIN(IF($M191&lt;&gt;"",IF($L191&lt;&gt;"",MIN($L191,$M191),$M191),IF($L191&lt;&gt;"",$L191,IF(IFERROR(INDEX('Référentiel'!$D$2:$D$83,MATCH($C191,'Référentiel'!$A$2:$A$83,0)),0)&gt;0,IFERROR(INDEX('Référentiel'!$D$2:$D$83,MATCH($C191,'Référentiel'!$A$2:$A$83,0)),0),""))),IFERROR(INDEX('Référentiel'!$F$2:$F$83,MATCH($C191,'Référentiel'!$A$2:$A$83,0)),0)),IF($M191&lt;&gt;"",IF($L191&lt;&gt;"",MIN($L191,$M191),$M191),IF($L191&lt;&gt;"",$L191,IF(IFERROR(INDEX('Référentiel'!$D$2:$D$83,MATCH($C191,'Référentiel'!$A$2:$A$83,0)),0)&gt;0,IFERROR(INDEX('Référentiel'!$D$2:$D$83,MATCH($C191,'Référentiel'!$A$2:$A$83,0)),0),""))))))</f>
      </c>
      <c r="O191" s="9"/>
      <c r="P191" s="23"/>
      <c r="Q191" s="9"/>
      <c r="R191" s="24"/>
      <c r="S191" s="23"/>
      <c r="T191" s="23"/>
      <c r="U191" s="24"/>
      <c r="V191" s="20">
        <f>IF($C191="","",IFERROR(INDEX('Référentiel'!$K$2:$K$83,MATCH($C191,'Référentiel'!$A$2:$A$83,0)),""))</f>
      </c>
      <c r="W191" s="20">
        <f>IF(AND(ISNUMBER($G191),$I191&lt;&gt;"Hors service",$I191&lt;&gt;"Location terminée"),$G191+ROW()/100000,"")</f>
      </c>
      <c r="X191" s="9"/>
    </row>
    <row r="192" spans="1:24" x14ac:dyDescent="0.25">
      <c r="A192" s="9"/>
      <c r="B192" s="9"/>
      <c r="C192" s="9"/>
      <c r="D192" s="9"/>
      <c r="E192" s="19">
        <f>IF($A192="","",IF(SUMPRODUCT(MAX((Vérifications!$B$2:$B$1001=$A192)*Vérifications!$L$2:$L$1001))=0,"",SUMPRODUCT(MAX((Vérifications!$B$2:$B$1001=$A192)*Vérifications!$L$2:$L$1001))))</f>
      </c>
      <c r="F192" s="20">
        <f>IF($E192="","",IFERROR(INDEX(Vérifications!$E$2:$E$1001,MATCH($A192&amp;"|"&amp;$E192,Vérifications!$M$2:$M$1001,0)),""))</f>
      </c>
      <c r="G192" s="19">
        <f>IF($N192="","",IF(ISNUMBER($E192),EDATE($E192,$N192),IF(AND(ISNUMBER($U192),IFERROR(INDEX('Référentiel'!$E$2:$E$83,MATCH($C192,'Référentiel'!$A$2:$A$83,0)),0)&gt;0),EDATE($U192,IFERROR(INDEX('Référentiel'!$E$2:$E$83,MATCH($C192,'Référentiel'!$A$2:$A$83,0)),0)),"")))</f>
      </c>
      <c r="H192" s="21">
        <f>IF(ISNUMBER($G192),$G192-TODAY(),"")</f>
      </c>
      <c r="I192" s="20">
        <f>IF(AND($A192="",$C192=""),"",IF($T192="Non","Hors service",IF(AND($Q192="Location",ISNUMBER($R192),$R192&lt;TODAY()),"Location terminée",IF(OR($F192="Mise à l'arrêt",IF($A192="",0,SUMPRODUCT((Réserves!$B$2:$B$301=$A192)*(Réserves!$E$2:$E$301="Mise à l'arrêt")*(Réserves!$J$2:$J$301&lt;&gt;"Levée")*(Réserves!$J$2:$J$301&lt;&gt;"")))&gt;0),"Arrêt : réserve à lever",IF($C192="","Type à choisir",IF($N192="","Périodicité à saisir",IF(OR(ISTEXT($U192),ISTEXT($R192)),"Date à corriger",IF(AND($E192="",$Q192="Location",$S192&lt;&gt;"Oui"),"Rapport loueur à obtenir",IF(NOT(ISNUMBER($G192)),"Vérif. initiale à tracer",IF($H192&lt;0,"En retard",IF(AND($Q192="Location",$S192&lt;&gt;"Oui"),"Rapport loueur à obtenir",IF($H192&lt;='Tableau de bord'!$C$4,"À planifier","À jour"))))))))))))</f>
      </c>
      <c r="J192" s="22">
        <f>IF($A192="","",COUNTIFS(Réserves!$B$2:$B$301,$A192,Réserves!$J$2:$J$301,"Ouverte")+COUNTIFS(Réserves!$B$2:$B$301,$A192,Réserves!$J$2:$J$301,"En retard"))</f>
      </c>
      <c r="K192" s="20">
        <f>IF($C192="","",IFERROR(INDEX('Référentiel'!$B$2:$B$83,MATCH($C192,'Référentiel'!$A$2:$A$83,0)),"Type hors liste"))</f>
      </c>
      <c r="L192" s="22">
        <f>IF($C192="","",IF(IFERROR(INDEX('Référentiel'!$C$2:$C$83,MATCH($C192,'Référentiel'!$A$2:$A$83,0)),0)=0,"",IFERROR(INDEX('Référentiel'!$C$2:$C$83,MATCH($C192,'Référentiel'!$A$2:$A$83,0)),0)))</f>
      </c>
      <c r="M192" s="23"/>
      <c r="N192" s="22">
        <f>IF($C192="","",IF(IF($M192&lt;&gt;"",IF($L192&lt;&gt;"",MIN($L192,$M192),$M192),IF($L192&lt;&gt;"",$L192,IF(IFERROR(INDEX('Référentiel'!$D$2:$D$83,MATCH($C192,'Référentiel'!$A$2:$A$83,0)),0)&gt;0,IFERROR(INDEX('Référentiel'!$D$2:$D$83,MATCH($C192,'Référentiel'!$A$2:$A$83,0)),0),"")))="","",IF(AND(IFERROR(INDEX('Référentiel'!$F$2:$F$83,MATCH($C192,'Référentiel'!$A$2:$A$83,0)),0)&gt;0,N($J192)&gt;0),MIN(IF($M192&lt;&gt;"",IF($L192&lt;&gt;"",MIN($L192,$M192),$M192),IF($L192&lt;&gt;"",$L192,IF(IFERROR(INDEX('Référentiel'!$D$2:$D$83,MATCH($C192,'Référentiel'!$A$2:$A$83,0)),0)&gt;0,IFERROR(INDEX('Référentiel'!$D$2:$D$83,MATCH($C192,'Référentiel'!$A$2:$A$83,0)),0),""))),IFERROR(INDEX('Référentiel'!$F$2:$F$83,MATCH($C192,'Référentiel'!$A$2:$A$83,0)),0)),IF($M192&lt;&gt;"",IF($L192&lt;&gt;"",MIN($L192,$M192),$M192),IF($L192&lt;&gt;"",$L192,IF(IFERROR(INDEX('Référentiel'!$D$2:$D$83,MATCH($C192,'Référentiel'!$A$2:$A$83,0)),0)&gt;0,IFERROR(INDEX('Référentiel'!$D$2:$D$83,MATCH($C192,'Référentiel'!$A$2:$A$83,0)),0),""))))))</f>
      </c>
      <c r="O192" s="9"/>
      <c r="P192" s="23"/>
      <c r="Q192" s="9"/>
      <c r="R192" s="24"/>
      <c r="S192" s="23"/>
      <c r="T192" s="23"/>
      <c r="U192" s="24"/>
      <c r="V192" s="20">
        <f>IF($C192="","",IFERROR(INDEX('Référentiel'!$K$2:$K$83,MATCH($C192,'Référentiel'!$A$2:$A$83,0)),""))</f>
      </c>
      <c r="W192" s="20">
        <f>IF(AND(ISNUMBER($G192),$I192&lt;&gt;"Hors service",$I192&lt;&gt;"Location terminée"),$G192+ROW()/100000,"")</f>
      </c>
      <c r="X192" s="9"/>
    </row>
    <row r="193" spans="1:24" x14ac:dyDescent="0.25">
      <c r="A193" s="9"/>
      <c r="B193" s="9"/>
      <c r="C193" s="9"/>
      <c r="D193" s="9"/>
      <c r="E193" s="19">
        <f>IF($A193="","",IF(SUMPRODUCT(MAX((Vérifications!$B$2:$B$1001=$A193)*Vérifications!$L$2:$L$1001))=0,"",SUMPRODUCT(MAX((Vérifications!$B$2:$B$1001=$A193)*Vérifications!$L$2:$L$1001))))</f>
      </c>
      <c r="F193" s="20">
        <f>IF($E193="","",IFERROR(INDEX(Vérifications!$E$2:$E$1001,MATCH($A193&amp;"|"&amp;$E193,Vérifications!$M$2:$M$1001,0)),""))</f>
      </c>
      <c r="G193" s="19">
        <f>IF($N193="","",IF(ISNUMBER($E193),EDATE($E193,$N193),IF(AND(ISNUMBER($U193),IFERROR(INDEX('Référentiel'!$E$2:$E$83,MATCH($C193,'Référentiel'!$A$2:$A$83,0)),0)&gt;0),EDATE($U193,IFERROR(INDEX('Référentiel'!$E$2:$E$83,MATCH($C193,'Référentiel'!$A$2:$A$83,0)),0)),"")))</f>
      </c>
      <c r="H193" s="21">
        <f>IF(ISNUMBER($G193),$G193-TODAY(),"")</f>
      </c>
      <c r="I193" s="20">
        <f>IF(AND($A193="",$C193=""),"",IF($T193="Non","Hors service",IF(AND($Q193="Location",ISNUMBER($R193),$R193&lt;TODAY()),"Location terminée",IF(OR($F193="Mise à l'arrêt",IF($A193="",0,SUMPRODUCT((Réserves!$B$2:$B$301=$A193)*(Réserves!$E$2:$E$301="Mise à l'arrêt")*(Réserves!$J$2:$J$301&lt;&gt;"Levée")*(Réserves!$J$2:$J$301&lt;&gt;"")))&gt;0),"Arrêt : réserve à lever",IF($C193="","Type à choisir",IF($N193="","Périodicité à saisir",IF(OR(ISTEXT($U193),ISTEXT($R193)),"Date à corriger",IF(AND($E193="",$Q193="Location",$S193&lt;&gt;"Oui"),"Rapport loueur à obtenir",IF(NOT(ISNUMBER($G193)),"Vérif. initiale à tracer",IF($H193&lt;0,"En retard",IF(AND($Q193="Location",$S193&lt;&gt;"Oui"),"Rapport loueur à obtenir",IF($H193&lt;='Tableau de bord'!$C$4,"À planifier","À jour"))))))))))))</f>
      </c>
      <c r="J193" s="22">
        <f>IF($A193="","",COUNTIFS(Réserves!$B$2:$B$301,$A193,Réserves!$J$2:$J$301,"Ouverte")+COUNTIFS(Réserves!$B$2:$B$301,$A193,Réserves!$J$2:$J$301,"En retard"))</f>
      </c>
      <c r="K193" s="20">
        <f>IF($C193="","",IFERROR(INDEX('Référentiel'!$B$2:$B$83,MATCH($C193,'Référentiel'!$A$2:$A$83,0)),"Type hors liste"))</f>
      </c>
      <c r="L193" s="22">
        <f>IF($C193="","",IF(IFERROR(INDEX('Référentiel'!$C$2:$C$83,MATCH($C193,'Référentiel'!$A$2:$A$83,0)),0)=0,"",IFERROR(INDEX('Référentiel'!$C$2:$C$83,MATCH($C193,'Référentiel'!$A$2:$A$83,0)),0)))</f>
      </c>
      <c r="M193" s="23"/>
      <c r="N193" s="22">
        <f>IF($C193="","",IF(IF($M193&lt;&gt;"",IF($L193&lt;&gt;"",MIN($L193,$M193),$M193),IF($L193&lt;&gt;"",$L193,IF(IFERROR(INDEX('Référentiel'!$D$2:$D$83,MATCH($C193,'Référentiel'!$A$2:$A$83,0)),0)&gt;0,IFERROR(INDEX('Référentiel'!$D$2:$D$83,MATCH($C193,'Référentiel'!$A$2:$A$83,0)),0),"")))="","",IF(AND(IFERROR(INDEX('Référentiel'!$F$2:$F$83,MATCH($C193,'Référentiel'!$A$2:$A$83,0)),0)&gt;0,N($J193)&gt;0),MIN(IF($M193&lt;&gt;"",IF($L193&lt;&gt;"",MIN($L193,$M193),$M193),IF($L193&lt;&gt;"",$L193,IF(IFERROR(INDEX('Référentiel'!$D$2:$D$83,MATCH($C193,'Référentiel'!$A$2:$A$83,0)),0)&gt;0,IFERROR(INDEX('Référentiel'!$D$2:$D$83,MATCH($C193,'Référentiel'!$A$2:$A$83,0)),0),""))),IFERROR(INDEX('Référentiel'!$F$2:$F$83,MATCH($C193,'Référentiel'!$A$2:$A$83,0)),0)),IF($M193&lt;&gt;"",IF($L193&lt;&gt;"",MIN($L193,$M193),$M193),IF($L193&lt;&gt;"",$L193,IF(IFERROR(INDEX('Référentiel'!$D$2:$D$83,MATCH($C193,'Référentiel'!$A$2:$A$83,0)),0)&gt;0,IFERROR(INDEX('Référentiel'!$D$2:$D$83,MATCH($C193,'Référentiel'!$A$2:$A$83,0)),0),""))))))</f>
      </c>
      <c r="O193" s="9"/>
      <c r="P193" s="23"/>
      <c r="Q193" s="9"/>
      <c r="R193" s="24"/>
      <c r="S193" s="23"/>
      <c r="T193" s="23"/>
      <c r="U193" s="24"/>
      <c r="V193" s="20">
        <f>IF($C193="","",IFERROR(INDEX('Référentiel'!$K$2:$K$83,MATCH($C193,'Référentiel'!$A$2:$A$83,0)),""))</f>
      </c>
      <c r="W193" s="20">
        <f>IF(AND(ISNUMBER($G193),$I193&lt;&gt;"Hors service",$I193&lt;&gt;"Location terminée"),$G193+ROW()/100000,"")</f>
      </c>
      <c r="X193" s="9"/>
    </row>
    <row r="194" spans="1:24" x14ac:dyDescent="0.25">
      <c r="A194" s="9"/>
      <c r="B194" s="9"/>
      <c r="C194" s="9"/>
      <c r="D194" s="9"/>
      <c r="E194" s="19">
        <f>IF($A194="","",IF(SUMPRODUCT(MAX((Vérifications!$B$2:$B$1001=$A194)*Vérifications!$L$2:$L$1001))=0,"",SUMPRODUCT(MAX((Vérifications!$B$2:$B$1001=$A194)*Vérifications!$L$2:$L$1001))))</f>
      </c>
      <c r="F194" s="20">
        <f>IF($E194="","",IFERROR(INDEX(Vérifications!$E$2:$E$1001,MATCH($A194&amp;"|"&amp;$E194,Vérifications!$M$2:$M$1001,0)),""))</f>
      </c>
      <c r="G194" s="19">
        <f>IF($N194="","",IF(ISNUMBER($E194),EDATE($E194,$N194),IF(AND(ISNUMBER($U194),IFERROR(INDEX('Référentiel'!$E$2:$E$83,MATCH($C194,'Référentiel'!$A$2:$A$83,0)),0)&gt;0),EDATE($U194,IFERROR(INDEX('Référentiel'!$E$2:$E$83,MATCH($C194,'Référentiel'!$A$2:$A$83,0)),0)),"")))</f>
      </c>
      <c r="H194" s="21">
        <f>IF(ISNUMBER($G194),$G194-TODAY(),"")</f>
      </c>
      <c r="I194" s="20">
        <f>IF(AND($A194="",$C194=""),"",IF($T194="Non","Hors service",IF(AND($Q194="Location",ISNUMBER($R194),$R194&lt;TODAY()),"Location terminée",IF(OR($F194="Mise à l'arrêt",IF($A194="",0,SUMPRODUCT((Réserves!$B$2:$B$301=$A194)*(Réserves!$E$2:$E$301="Mise à l'arrêt")*(Réserves!$J$2:$J$301&lt;&gt;"Levée")*(Réserves!$J$2:$J$301&lt;&gt;"")))&gt;0),"Arrêt : réserve à lever",IF($C194="","Type à choisir",IF($N194="","Périodicité à saisir",IF(OR(ISTEXT($U194),ISTEXT($R194)),"Date à corriger",IF(AND($E194="",$Q194="Location",$S194&lt;&gt;"Oui"),"Rapport loueur à obtenir",IF(NOT(ISNUMBER($G194)),"Vérif. initiale à tracer",IF($H194&lt;0,"En retard",IF(AND($Q194="Location",$S194&lt;&gt;"Oui"),"Rapport loueur à obtenir",IF($H194&lt;='Tableau de bord'!$C$4,"À planifier","À jour"))))))))))))</f>
      </c>
      <c r="J194" s="22">
        <f>IF($A194="","",COUNTIFS(Réserves!$B$2:$B$301,$A194,Réserves!$J$2:$J$301,"Ouverte")+COUNTIFS(Réserves!$B$2:$B$301,$A194,Réserves!$J$2:$J$301,"En retard"))</f>
      </c>
      <c r="K194" s="20">
        <f>IF($C194="","",IFERROR(INDEX('Référentiel'!$B$2:$B$83,MATCH($C194,'Référentiel'!$A$2:$A$83,0)),"Type hors liste"))</f>
      </c>
      <c r="L194" s="22">
        <f>IF($C194="","",IF(IFERROR(INDEX('Référentiel'!$C$2:$C$83,MATCH($C194,'Référentiel'!$A$2:$A$83,0)),0)=0,"",IFERROR(INDEX('Référentiel'!$C$2:$C$83,MATCH($C194,'Référentiel'!$A$2:$A$83,0)),0)))</f>
      </c>
      <c r="M194" s="23"/>
      <c r="N194" s="22">
        <f>IF($C194="","",IF(IF($M194&lt;&gt;"",IF($L194&lt;&gt;"",MIN($L194,$M194),$M194),IF($L194&lt;&gt;"",$L194,IF(IFERROR(INDEX('Référentiel'!$D$2:$D$83,MATCH($C194,'Référentiel'!$A$2:$A$83,0)),0)&gt;0,IFERROR(INDEX('Référentiel'!$D$2:$D$83,MATCH($C194,'Référentiel'!$A$2:$A$83,0)),0),"")))="","",IF(AND(IFERROR(INDEX('Référentiel'!$F$2:$F$83,MATCH($C194,'Référentiel'!$A$2:$A$83,0)),0)&gt;0,N($J194)&gt;0),MIN(IF($M194&lt;&gt;"",IF($L194&lt;&gt;"",MIN($L194,$M194),$M194),IF($L194&lt;&gt;"",$L194,IF(IFERROR(INDEX('Référentiel'!$D$2:$D$83,MATCH($C194,'Référentiel'!$A$2:$A$83,0)),0)&gt;0,IFERROR(INDEX('Référentiel'!$D$2:$D$83,MATCH($C194,'Référentiel'!$A$2:$A$83,0)),0),""))),IFERROR(INDEX('Référentiel'!$F$2:$F$83,MATCH($C194,'Référentiel'!$A$2:$A$83,0)),0)),IF($M194&lt;&gt;"",IF($L194&lt;&gt;"",MIN($L194,$M194),$M194),IF($L194&lt;&gt;"",$L194,IF(IFERROR(INDEX('Référentiel'!$D$2:$D$83,MATCH($C194,'Référentiel'!$A$2:$A$83,0)),0)&gt;0,IFERROR(INDEX('Référentiel'!$D$2:$D$83,MATCH($C194,'Référentiel'!$A$2:$A$83,0)),0),""))))))</f>
      </c>
      <c r="O194" s="9"/>
      <c r="P194" s="23"/>
      <c r="Q194" s="9"/>
      <c r="R194" s="24"/>
      <c r="S194" s="23"/>
      <c r="T194" s="23"/>
      <c r="U194" s="24"/>
      <c r="V194" s="20">
        <f>IF($C194="","",IFERROR(INDEX('Référentiel'!$K$2:$K$83,MATCH($C194,'Référentiel'!$A$2:$A$83,0)),""))</f>
      </c>
      <c r="W194" s="20">
        <f>IF(AND(ISNUMBER($G194),$I194&lt;&gt;"Hors service",$I194&lt;&gt;"Location terminée"),$G194+ROW()/100000,"")</f>
      </c>
      <c r="X194" s="9"/>
    </row>
    <row r="195" spans="1:24" x14ac:dyDescent="0.25">
      <c r="A195" s="9"/>
      <c r="B195" s="9"/>
      <c r="C195" s="9"/>
      <c r="D195" s="9"/>
      <c r="E195" s="19">
        <f>IF($A195="","",IF(SUMPRODUCT(MAX((Vérifications!$B$2:$B$1001=$A195)*Vérifications!$L$2:$L$1001))=0,"",SUMPRODUCT(MAX((Vérifications!$B$2:$B$1001=$A195)*Vérifications!$L$2:$L$1001))))</f>
      </c>
      <c r="F195" s="20">
        <f>IF($E195="","",IFERROR(INDEX(Vérifications!$E$2:$E$1001,MATCH($A195&amp;"|"&amp;$E195,Vérifications!$M$2:$M$1001,0)),""))</f>
      </c>
      <c r="G195" s="19">
        <f>IF($N195="","",IF(ISNUMBER($E195),EDATE($E195,$N195),IF(AND(ISNUMBER($U195),IFERROR(INDEX('Référentiel'!$E$2:$E$83,MATCH($C195,'Référentiel'!$A$2:$A$83,0)),0)&gt;0),EDATE($U195,IFERROR(INDEX('Référentiel'!$E$2:$E$83,MATCH($C195,'Référentiel'!$A$2:$A$83,0)),0)),"")))</f>
      </c>
      <c r="H195" s="21">
        <f>IF(ISNUMBER($G195),$G195-TODAY(),"")</f>
      </c>
      <c r="I195" s="20">
        <f>IF(AND($A195="",$C195=""),"",IF($T195="Non","Hors service",IF(AND($Q195="Location",ISNUMBER($R195),$R195&lt;TODAY()),"Location terminée",IF(OR($F195="Mise à l'arrêt",IF($A195="",0,SUMPRODUCT((Réserves!$B$2:$B$301=$A195)*(Réserves!$E$2:$E$301="Mise à l'arrêt")*(Réserves!$J$2:$J$301&lt;&gt;"Levée")*(Réserves!$J$2:$J$301&lt;&gt;"")))&gt;0),"Arrêt : réserve à lever",IF($C195="","Type à choisir",IF($N195="","Périodicité à saisir",IF(OR(ISTEXT($U195),ISTEXT($R195)),"Date à corriger",IF(AND($E195="",$Q195="Location",$S195&lt;&gt;"Oui"),"Rapport loueur à obtenir",IF(NOT(ISNUMBER($G195)),"Vérif. initiale à tracer",IF($H195&lt;0,"En retard",IF(AND($Q195="Location",$S195&lt;&gt;"Oui"),"Rapport loueur à obtenir",IF($H195&lt;='Tableau de bord'!$C$4,"À planifier","À jour"))))))))))))</f>
      </c>
      <c r="J195" s="22">
        <f>IF($A195="","",COUNTIFS(Réserves!$B$2:$B$301,$A195,Réserves!$J$2:$J$301,"Ouverte")+COUNTIFS(Réserves!$B$2:$B$301,$A195,Réserves!$J$2:$J$301,"En retard"))</f>
      </c>
      <c r="K195" s="20">
        <f>IF($C195="","",IFERROR(INDEX('Référentiel'!$B$2:$B$83,MATCH($C195,'Référentiel'!$A$2:$A$83,0)),"Type hors liste"))</f>
      </c>
      <c r="L195" s="22">
        <f>IF($C195="","",IF(IFERROR(INDEX('Référentiel'!$C$2:$C$83,MATCH($C195,'Référentiel'!$A$2:$A$83,0)),0)=0,"",IFERROR(INDEX('Référentiel'!$C$2:$C$83,MATCH($C195,'Référentiel'!$A$2:$A$83,0)),0)))</f>
      </c>
      <c r="M195" s="23"/>
      <c r="N195" s="22">
        <f>IF($C195="","",IF(IF($M195&lt;&gt;"",IF($L195&lt;&gt;"",MIN($L195,$M195),$M195),IF($L195&lt;&gt;"",$L195,IF(IFERROR(INDEX('Référentiel'!$D$2:$D$83,MATCH($C195,'Référentiel'!$A$2:$A$83,0)),0)&gt;0,IFERROR(INDEX('Référentiel'!$D$2:$D$83,MATCH($C195,'Référentiel'!$A$2:$A$83,0)),0),"")))="","",IF(AND(IFERROR(INDEX('Référentiel'!$F$2:$F$83,MATCH($C195,'Référentiel'!$A$2:$A$83,0)),0)&gt;0,N($J195)&gt;0),MIN(IF($M195&lt;&gt;"",IF($L195&lt;&gt;"",MIN($L195,$M195),$M195),IF($L195&lt;&gt;"",$L195,IF(IFERROR(INDEX('Référentiel'!$D$2:$D$83,MATCH($C195,'Référentiel'!$A$2:$A$83,0)),0)&gt;0,IFERROR(INDEX('Référentiel'!$D$2:$D$83,MATCH($C195,'Référentiel'!$A$2:$A$83,0)),0),""))),IFERROR(INDEX('Référentiel'!$F$2:$F$83,MATCH($C195,'Référentiel'!$A$2:$A$83,0)),0)),IF($M195&lt;&gt;"",IF($L195&lt;&gt;"",MIN($L195,$M195),$M195),IF($L195&lt;&gt;"",$L195,IF(IFERROR(INDEX('Référentiel'!$D$2:$D$83,MATCH($C195,'Référentiel'!$A$2:$A$83,0)),0)&gt;0,IFERROR(INDEX('Référentiel'!$D$2:$D$83,MATCH($C195,'Référentiel'!$A$2:$A$83,0)),0),""))))))</f>
      </c>
      <c r="O195" s="9"/>
      <c r="P195" s="23"/>
      <c r="Q195" s="9"/>
      <c r="R195" s="24"/>
      <c r="S195" s="23"/>
      <c r="T195" s="23"/>
      <c r="U195" s="24"/>
      <c r="V195" s="20">
        <f>IF($C195="","",IFERROR(INDEX('Référentiel'!$K$2:$K$83,MATCH($C195,'Référentiel'!$A$2:$A$83,0)),""))</f>
      </c>
      <c r="W195" s="20">
        <f>IF(AND(ISNUMBER($G195),$I195&lt;&gt;"Hors service",$I195&lt;&gt;"Location terminée"),$G195+ROW()/100000,"")</f>
      </c>
      <c r="X195" s="9"/>
    </row>
    <row r="196" spans="1:24" x14ac:dyDescent="0.25">
      <c r="A196" s="9"/>
      <c r="B196" s="9"/>
      <c r="C196" s="9"/>
      <c r="D196" s="9"/>
      <c r="E196" s="19">
        <f>IF($A196="","",IF(SUMPRODUCT(MAX((Vérifications!$B$2:$B$1001=$A196)*Vérifications!$L$2:$L$1001))=0,"",SUMPRODUCT(MAX((Vérifications!$B$2:$B$1001=$A196)*Vérifications!$L$2:$L$1001))))</f>
      </c>
      <c r="F196" s="20">
        <f>IF($E196="","",IFERROR(INDEX(Vérifications!$E$2:$E$1001,MATCH($A196&amp;"|"&amp;$E196,Vérifications!$M$2:$M$1001,0)),""))</f>
      </c>
      <c r="G196" s="19">
        <f>IF($N196="","",IF(ISNUMBER($E196),EDATE($E196,$N196),IF(AND(ISNUMBER($U196),IFERROR(INDEX('Référentiel'!$E$2:$E$83,MATCH($C196,'Référentiel'!$A$2:$A$83,0)),0)&gt;0),EDATE($U196,IFERROR(INDEX('Référentiel'!$E$2:$E$83,MATCH($C196,'Référentiel'!$A$2:$A$83,0)),0)),"")))</f>
      </c>
      <c r="H196" s="21">
        <f>IF(ISNUMBER($G196),$G196-TODAY(),"")</f>
      </c>
      <c r="I196" s="20">
        <f>IF(AND($A196="",$C196=""),"",IF($T196="Non","Hors service",IF(AND($Q196="Location",ISNUMBER($R196),$R196&lt;TODAY()),"Location terminée",IF(OR($F196="Mise à l'arrêt",IF($A196="",0,SUMPRODUCT((Réserves!$B$2:$B$301=$A196)*(Réserves!$E$2:$E$301="Mise à l'arrêt")*(Réserves!$J$2:$J$301&lt;&gt;"Levée")*(Réserves!$J$2:$J$301&lt;&gt;"")))&gt;0),"Arrêt : réserve à lever",IF($C196="","Type à choisir",IF($N196="","Périodicité à saisir",IF(OR(ISTEXT($U196),ISTEXT($R196)),"Date à corriger",IF(AND($E196="",$Q196="Location",$S196&lt;&gt;"Oui"),"Rapport loueur à obtenir",IF(NOT(ISNUMBER($G196)),"Vérif. initiale à tracer",IF($H196&lt;0,"En retard",IF(AND($Q196="Location",$S196&lt;&gt;"Oui"),"Rapport loueur à obtenir",IF($H196&lt;='Tableau de bord'!$C$4,"À planifier","À jour"))))))))))))</f>
      </c>
      <c r="J196" s="22">
        <f>IF($A196="","",COUNTIFS(Réserves!$B$2:$B$301,$A196,Réserves!$J$2:$J$301,"Ouverte")+COUNTIFS(Réserves!$B$2:$B$301,$A196,Réserves!$J$2:$J$301,"En retard"))</f>
      </c>
      <c r="K196" s="20">
        <f>IF($C196="","",IFERROR(INDEX('Référentiel'!$B$2:$B$83,MATCH($C196,'Référentiel'!$A$2:$A$83,0)),"Type hors liste"))</f>
      </c>
      <c r="L196" s="22">
        <f>IF($C196="","",IF(IFERROR(INDEX('Référentiel'!$C$2:$C$83,MATCH($C196,'Référentiel'!$A$2:$A$83,0)),0)=0,"",IFERROR(INDEX('Référentiel'!$C$2:$C$83,MATCH($C196,'Référentiel'!$A$2:$A$83,0)),0)))</f>
      </c>
      <c r="M196" s="23"/>
      <c r="N196" s="22">
        <f>IF($C196="","",IF(IF($M196&lt;&gt;"",IF($L196&lt;&gt;"",MIN($L196,$M196),$M196),IF($L196&lt;&gt;"",$L196,IF(IFERROR(INDEX('Référentiel'!$D$2:$D$83,MATCH($C196,'Référentiel'!$A$2:$A$83,0)),0)&gt;0,IFERROR(INDEX('Référentiel'!$D$2:$D$83,MATCH($C196,'Référentiel'!$A$2:$A$83,0)),0),"")))="","",IF(AND(IFERROR(INDEX('Référentiel'!$F$2:$F$83,MATCH($C196,'Référentiel'!$A$2:$A$83,0)),0)&gt;0,N($J196)&gt;0),MIN(IF($M196&lt;&gt;"",IF($L196&lt;&gt;"",MIN($L196,$M196),$M196),IF($L196&lt;&gt;"",$L196,IF(IFERROR(INDEX('Référentiel'!$D$2:$D$83,MATCH($C196,'Référentiel'!$A$2:$A$83,0)),0)&gt;0,IFERROR(INDEX('Référentiel'!$D$2:$D$83,MATCH($C196,'Référentiel'!$A$2:$A$83,0)),0),""))),IFERROR(INDEX('Référentiel'!$F$2:$F$83,MATCH($C196,'Référentiel'!$A$2:$A$83,0)),0)),IF($M196&lt;&gt;"",IF($L196&lt;&gt;"",MIN($L196,$M196),$M196),IF($L196&lt;&gt;"",$L196,IF(IFERROR(INDEX('Référentiel'!$D$2:$D$83,MATCH($C196,'Référentiel'!$A$2:$A$83,0)),0)&gt;0,IFERROR(INDEX('Référentiel'!$D$2:$D$83,MATCH($C196,'Référentiel'!$A$2:$A$83,0)),0),""))))))</f>
      </c>
      <c r="O196" s="9"/>
      <c r="P196" s="23"/>
      <c r="Q196" s="9"/>
      <c r="R196" s="24"/>
      <c r="S196" s="23"/>
      <c r="T196" s="23"/>
      <c r="U196" s="24"/>
      <c r="V196" s="20">
        <f>IF($C196="","",IFERROR(INDEX('Référentiel'!$K$2:$K$83,MATCH($C196,'Référentiel'!$A$2:$A$83,0)),""))</f>
      </c>
      <c r="W196" s="20">
        <f>IF(AND(ISNUMBER($G196),$I196&lt;&gt;"Hors service",$I196&lt;&gt;"Location terminée"),$G196+ROW()/100000,"")</f>
      </c>
      <c r="X196" s="9"/>
    </row>
    <row r="197" spans="1:24" x14ac:dyDescent="0.25">
      <c r="A197" s="9"/>
      <c r="B197" s="9"/>
      <c r="C197" s="9"/>
      <c r="D197" s="9"/>
      <c r="E197" s="19">
        <f>IF($A197="","",IF(SUMPRODUCT(MAX((Vérifications!$B$2:$B$1001=$A197)*Vérifications!$L$2:$L$1001))=0,"",SUMPRODUCT(MAX((Vérifications!$B$2:$B$1001=$A197)*Vérifications!$L$2:$L$1001))))</f>
      </c>
      <c r="F197" s="20">
        <f>IF($E197="","",IFERROR(INDEX(Vérifications!$E$2:$E$1001,MATCH($A197&amp;"|"&amp;$E197,Vérifications!$M$2:$M$1001,0)),""))</f>
      </c>
      <c r="G197" s="19">
        <f>IF($N197="","",IF(ISNUMBER($E197),EDATE($E197,$N197),IF(AND(ISNUMBER($U197),IFERROR(INDEX('Référentiel'!$E$2:$E$83,MATCH($C197,'Référentiel'!$A$2:$A$83,0)),0)&gt;0),EDATE($U197,IFERROR(INDEX('Référentiel'!$E$2:$E$83,MATCH($C197,'Référentiel'!$A$2:$A$83,0)),0)),"")))</f>
      </c>
      <c r="H197" s="21">
        <f>IF(ISNUMBER($G197),$G197-TODAY(),"")</f>
      </c>
      <c r="I197" s="20">
        <f>IF(AND($A197="",$C197=""),"",IF($T197="Non","Hors service",IF(AND($Q197="Location",ISNUMBER($R197),$R197&lt;TODAY()),"Location terminée",IF(OR($F197="Mise à l'arrêt",IF($A197="",0,SUMPRODUCT((Réserves!$B$2:$B$301=$A197)*(Réserves!$E$2:$E$301="Mise à l'arrêt")*(Réserves!$J$2:$J$301&lt;&gt;"Levée")*(Réserves!$J$2:$J$301&lt;&gt;"")))&gt;0),"Arrêt : réserve à lever",IF($C197="","Type à choisir",IF($N197="","Périodicité à saisir",IF(OR(ISTEXT($U197),ISTEXT($R197)),"Date à corriger",IF(AND($E197="",$Q197="Location",$S197&lt;&gt;"Oui"),"Rapport loueur à obtenir",IF(NOT(ISNUMBER($G197)),"Vérif. initiale à tracer",IF($H197&lt;0,"En retard",IF(AND($Q197="Location",$S197&lt;&gt;"Oui"),"Rapport loueur à obtenir",IF($H197&lt;='Tableau de bord'!$C$4,"À planifier","À jour"))))))))))))</f>
      </c>
      <c r="J197" s="22">
        <f>IF($A197="","",COUNTIFS(Réserves!$B$2:$B$301,$A197,Réserves!$J$2:$J$301,"Ouverte")+COUNTIFS(Réserves!$B$2:$B$301,$A197,Réserves!$J$2:$J$301,"En retard"))</f>
      </c>
      <c r="K197" s="20">
        <f>IF($C197="","",IFERROR(INDEX('Référentiel'!$B$2:$B$83,MATCH($C197,'Référentiel'!$A$2:$A$83,0)),"Type hors liste"))</f>
      </c>
      <c r="L197" s="22">
        <f>IF($C197="","",IF(IFERROR(INDEX('Référentiel'!$C$2:$C$83,MATCH($C197,'Référentiel'!$A$2:$A$83,0)),0)=0,"",IFERROR(INDEX('Référentiel'!$C$2:$C$83,MATCH($C197,'Référentiel'!$A$2:$A$83,0)),0)))</f>
      </c>
      <c r="M197" s="23"/>
      <c r="N197" s="22">
        <f>IF($C197="","",IF(IF($M197&lt;&gt;"",IF($L197&lt;&gt;"",MIN($L197,$M197),$M197),IF($L197&lt;&gt;"",$L197,IF(IFERROR(INDEX('Référentiel'!$D$2:$D$83,MATCH($C197,'Référentiel'!$A$2:$A$83,0)),0)&gt;0,IFERROR(INDEX('Référentiel'!$D$2:$D$83,MATCH($C197,'Référentiel'!$A$2:$A$83,0)),0),"")))="","",IF(AND(IFERROR(INDEX('Référentiel'!$F$2:$F$83,MATCH($C197,'Référentiel'!$A$2:$A$83,0)),0)&gt;0,N($J197)&gt;0),MIN(IF($M197&lt;&gt;"",IF($L197&lt;&gt;"",MIN($L197,$M197),$M197),IF($L197&lt;&gt;"",$L197,IF(IFERROR(INDEX('Référentiel'!$D$2:$D$83,MATCH($C197,'Référentiel'!$A$2:$A$83,0)),0)&gt;0,IFERROR(INDEX('Référentiel'!$D$2:$D$83,MATCH($C197,'Référentiel'!$A$2:$A$83,0)),0),""))),IFERROR(INDEX('Référentiel'!$F$2:$F$83,MATCH($C197,'Référentiel'!$A$2:$A$83,0)),0)),IF($M197&lt;&gt;"",IF($L197&lt;&gt;"",MIN($L197,$M197),$M197),IF($L197&lt;&gt;"",$L197,IF(IFERROR(INDEX('Référentiel'!$D$2:$D$83,MATCH($C197,'Référentiel'!$A$2:$A$83,0)),0)&gt;0,IFERROR(INDEX('Référentiel'!$D$2:$D$83,MATCH($C197,'Référentiel'!$A$2:$A$83,0)),0),""))))))</f>
      </c>
      <c r="O197" s="9"/>
      <c r="P197" s="23"/>
      <c r="Q197" s="9"/>
      <c r="R197" s="24"/>
      <c r="S197" s="23"/>
      <c r="T197" s="23"/>
      <c r="U197" s="24"/>
      <c r="V197" s="20">
        <f>IF($C197="","",IFERROR(INDEX('Référentiel'!$K$2:$K$83,MATCH($C197,'Référentiel'!$A$2:$A$83,0)),""))</f>
      </c>
      <c r="W197" s="20">
        <f>IF(AND(ISNUMBER($G197),$I197&lt;&gt;"Hors service",$I197&lt;&gt;"Location terminée"),$G197+ROW()/100000,"")</f>
      </c>
      <c r="X197" s="9"/>
    </row>
    <row r="198" spans="1:24" x14ac:dyDescent="0.25">
      <c r="A198" s="9"/>
      <c r="B198" s="9"/>
      <c r="C198" s="9"/>
      <c r="D198" s="9"/>
      <c r="E198" s="19">
        <f>IF($A198="","",IF(SUMPRODUCT(MAX((Vérifications!$B$2:$B$1001=$A198)*Vérifications!$L$2:$L$1001))=0,"",SUMPRODUCT(MAX((Vérifications!$B$2:$B$1001=$A198)*Vérifications!$L$2:$L$1001))))</f>
      </c>
      <c r="F198" s="20">
        <f>IF($E198="","",IFERROR(INDEX(Vérifications!$E$2:$E$1001,MATCH($A198&amp;"|"&amp;$E198,Vérifications!$M$2:$M$1001,0)),""))</f>
      </c>
      <c r="G198" s="19">
        <f>IF($N198="","",IF(ISNUMBER($E198),EDATE($E198,$N198),IF(AND(ISNUMBER($U198),IFERROR(INDEX('Référentiel'!$E$2:$E$83,MATCH($C198,'Référentiel'!$A$2:$A$83,0)),0)&gt;0),EDATE($U198,IFERROR(INDEX('Référentiel'!$E$2:$E$83,MATCH($C198,'Référentiel'!$A$2:$A$83,0)),0)),"")))</f>
      </c>
      <c r="H198" s="21">
        <f>IF(ISNUMBER($G198),$G198-TODAY(),"")</f>
      </c>
      <c r="I198" s="20">
        <f>IF(AND($A198="",$C198=""),"",IF($T198="Non","Hors service",IF(AND($Q198="Location",ISNUMBER($R198),$R198&lt;TODAY()),"Location terminée",IF(OR($F198="Mise à l'arrêt",IF($A198="",0,SUMPRODUCT((Réserves!$B$2:$B$301=$A198)*(Réserves!$E$2:$E$301="Mise à l'arrêt")*(Réserves!$J$2:$J$301&lt;&gt;"Levée")*(Réserves!$J$2:$J$301&lt;&gt;"")))&gt;0),"Arrêt : réserve à lever",IF($C198="","Type à choisir",IF($N198="","Périodicité à saisir",IF(OR(ISTEXT($U198),ISTEXT($R198)),"Date à corriger",IF(AND($E198="",$Q198="Location",$S198&lt;&gt;"Oui"),"Rapport loueur à obtenir",IF(NOT(ISNUMBER($G198)),"Vérif. initiale à tracer",IF($H198&lt;0,"En retard",IF(AND($Q198="Location",$S198&lt;&gt;"Oui"),"Rapport loueur à obtenir",IF($H198&lt;='Tableau de bord'!$C$4,"À planifier","À jour"))))))))))))</f>
      </c>
      <c r="J198" s="22">
        <f>IF($A198="","",COUNTIFS(Réserves!$B$2:$B$301,$A198,Réserves!$J$2:$J$301,"Ouverte")+COUNTIFS(Réserves!$B$2:$B$301,$A198,Réserves!$J$2:$J$301,"En retard"))</f>
      </c>
      <c r="K198" s="20">
        <f>IF($C198="","",IFERROR(INDEX('Référentiel'!$B$2:$B$83,MATCH($C198,'Référentiel'!$A$2:$A$83,0)),"Type hors liste"))</f>
      </c>
      <c r="L198" s="22">
        <f>IF($C198="","",IF(IFERROR(INDEX('Référentiel'!$C$2:$C$83,MATCH($C198,'Référentiel'!$A$2:$A$83,0)),0)=0,"",IFERROR(INDEX('Référentiel'!$C$2:$C$83,MATCH($C198,'Référentiel'!$A$2:$A$83,0)),0)))</f>
      </c>
      <c r="M198" s="23"/>
      <c r="N198" s="22">
        <f>IF($C198="","",IF(IF($M198&lt;&gt;"",IF($L198&lt;&gt;"",MIN($L198,$M198),$M198),IF($L198&lt;&gt;"",$L198,IF(IFERROR(INDEX('Référentiel'!$D$2:$D$83,MATCH($C198,'Référentiel'!$A$2:$A$83,0)),0)&gt;0,IFERROR(INDEX('Référentiel'!$D$2:$D$83,MATCH($C198,'Référentiel'!$A$2:$A$83,0)),0),"")))="","",IF(AND(IFERROR(INDEX('Référentiel'!$F$2:$F$83,MATCH($C198,'Référentiel'!$A$2:$A$83,0)),0)&gt;0,N($J198)&gt;0),MIN(IF($M198&lt;&gt;"",IF($L198&lt;&gt;"",MIN($L198,$M198),$M198),IF($L198&lt;&gt;"",$L198,IF(IFERROR(INDEX('Référentiel'!$D$2:$D$83,MATCH($C198,'Référentiel'!$A$2:$A$83,0)),0)&gt;0,IFERROR(INDEX('Référentiel'!$D$2:$D$83,MATCH($C198,'Référentiel'!$A$2:$A$83,0)),0),""))),IFERROR(INDEX('Référentiel'!$F$2:$F$83,MATCH($C198,'Référentiel'!$A$2:$A$83,0)),0)),IF($M198&lt;&gt;"",IF($L198&lt;&gt;"",MIN($L198,$M198),$M198),IF($L198&lt;&gt;"",$L198,IF(IFERROR(INDEX('Référentiel'!$D$2:$D$83,MATCH($C198,'Référentiel'!$A$2:$A$83,0)),0)&gt;0,IFERROR(INDEX('Référentiel'!$D$2:$D$83,MATCH($C198,'Référentiel'!$A$2:$A$83,0)),0),""))))))</f>
      </c>
      <c r="O198" s="9"/>
      <c r="P198" s="23"/>
      <c r="Q198" s="9"/>
      <c r="R198" s="24"/>
      <c r="S198" s="23"/>
      <c r="T198" s="23"/>
      <c r="U198" s="24"/>
      <c r="V198" s="20">
        <f>IF($C198="","",IFERROR(INDEX('Référentiel'!$K$2:$K$83,MATCH($C198,'Référentiel'!$A$2:$A$83,0)),""))</f>
      </c>
      <c r="W198" s="20">
        <f>IF(AND(ISNUMBER($G198),$I198&lt;&gt;"Hors service",$I198&lt;&gt;"Location terminée"),$G198+ROW()/100000,"")</f>
      </c>
      <c r="X198" s="9"/>
    </row>
    <row r="199" spans="1:24" x14ac:dyDescent="0.25">
      <c r="A199" s="9"/>
      <c r="B199" s="9"/>
      <c r="C199" s="9"/>
      <c r="D199" s="9"/>
      <c r="E199" s="19">
        <f>IF($A199="","",IF(SUMPRODUCT(MAX((Vérifications!$B$2:$B$1001=$A199)*Vérifications!$L$2:$L$1001))=0,"",SUMPRODUCT(MAX((Vérifications!$B$2:$B$1001=$A199)*Vérifications!$L$2:$L$1001))))</f>
      </c>
      <c r="F199" s="20">
        <f>IF($E199="","",IFERROR(INDEX(Vérifications!$E$2:$E$1001,MATCH($A199&amp;"|"&amp;$E199,Vérifications!$M$2:$M$1001,0)),""))</f>
      </c>
      <c r="G199" s="19">
        <f>IF($N199="","",IF(ISNUMBER($E199),EDATE($E199,$N199),IF(AND(ISNUMBER($U199),IFERROR(INDEX('Référentiel'!$E$2:$E$83,MATCH($C199,'Référentiel'!$A$2:$A$83,0)),0)&gt;0),EDATE($U199,IFERROR(INDEX('Référentiel'!$E$2:$E$83,MATCH($C199,'Référentiel'!$A$2:$A$83,0)),0)),"")))</f>
      </c>
      <c r="H199" s="21">
        <f>IF(ISNUMBER($G199),$G199-TODAY(),"")</f>
      </c>
      <c r="I199" s="20">
        <f>IF(AND($A199="",$C199=""),"",IF($T199="Non","Hors service",IF(AND($Q199="Location",ISNUMBER($R199),$R199&lt;TODAY()),"Location terminée",IF(OR($F199="Mise à l'arrêt",IF($A199="",0,SUMPRODUCT((Réserves!$B$2:$B$301=$A199)*(Réserves!$E$2:$E$301="Mise à l'arrêt")*(Réserves!$J$2:$J$301&lt;&gt;"Levée")*(Réserves!$J$2:$J$301&lt;&gt;"")))&gt;0),"Arrêt : réserve à lever",IF($C199="","Type à choisir",IF($N199="","Périodicité à saisir",IF(OR(ISTEXT($U199),ISTEXT($R199)),"Date à corriger",IF(AND($E199="",$Q199="Location",$S199&lt;&gt;"Oui"),"Rapport loueur à obtenir",IF(NOT(ISNUMBER($G199)),"Vérif. initiale à tracer",IF($H199&lt;0,"En retard",IF(AND($Q199="Location",$S199&lt;&gt;"Oui"),"Rapport loueur à obtenir",IF($H199&lt;='Tableau de bord'!$C$4,"À planifier","À jour"))))))))))))</f>
      </c>
      <c r="J199" s="22">
        <f>IF($A199="","",COUNTIFS(Réserves!$B$2:$B$301,$A199,Réserves!$J$2:$J$301,"Ouverte")+COUNTIFS(Réserves!$B$2:$B$301,$A199,Réserves!$J$2:$J$301,"En retard"))</f>
      </c>
      <c r="K199" s="20">
        <f>IF($C199="","",IFERROR(INDEX('Référentiel'!$B$2:$B$83,MATCH($C199,'Référentiel'!$A$2:$A$83,0)),"Type hors liste"))</f>
      </c>
      <c r="L199" s="22">
        <f>IF($C199="","",IF(IFERROR(INDEX('Référentiel'!$C$2:$C$83,MATCH($C199,'Référentiel'!$A$2:$A$83,0)),0)=0,"",IFERROR(INDEX('Référentiel'!$C$2:$C$83,MATCH($C199,'Référentiel'!$A$2:$A$83,0)),0)))</f>
      </c>
      <c r="M199" s="23"/>
      <c r="N199" s="22">
        <f>IF($C199="","",IF(IF($M199&lt;&gt;"",IF($L199&lt;&gt;"",MIN($L199,$M199),$M199),IF($L199&lt;&gt;"",$L199,IF(IFERROR(INDEX('Référentiel'!$D$2:$D$83,MATCH($C199,'Référentiel'!$A$2:$A$83,0)),0)&gt;0,IFERROR(INDEX('Référentiel'!$D$2:$D$83,MATCH($C199,'Référentiel'!$A$2:$A$83,0)),0),"")))="","",IF(AND(IFERROR(INDEX('Référentiel'!$F$2:$F$83,MATCH($C199,'Référentiel'!$A$2:$A$83,0)),0)&gt;0,N($J199)&gt;0),MIN(IF($M199&lt;&gt;"",IF($L199&lt;&gt;"",MIN($L199,$M199),$M199),IF($L199&lt;&gt;"",$L199,IF(IFERROR(INDEX('Référentiel'!$D$2:$D$83,MATCH($C199,'Référentiel'!$A$2:$A$83,0)),0)&gt;0,IFERROR(INDEX('Référentiel'!$D$2:$D$83,MATCH($C199,'Référentiel'!$A$2:$A$83,0)),0),""))),IFERROR(INDEX('Référentiel'!$F$2:$F$83,MATCH($C199,'Référentiel'!$A$2:$A$83,0)),0)),IF($M199&lt;&gt;"",IF($L199&lt;&gt;"",MIN($L199,$M199),$M199),IF($L199&lt;&gt;"",$L199,IF(IFERROR(INDEX('Référentiel'!$D$2:$D$83,MATCH($C199,'Référentiel'!$A$2:$A$83,0)),0)&gt;0,IFERROR(INDEX('Référentiel'!$D$2:$D$83,MATCH($C199,'Référentiel'!$A$2:$A$83,0)),0),""))))))</f>
      </c>
      <c r="O199" s="9"/>
      <c r="P199" s="23"/>
      <c r="Q199" s="9"/>
      <c r="R199" s="24"/>
      <c r="S199" s="23"/>
      <c r="T199" s="23"/>
      <c r="U199" s="24"/>
      <c r="V199" s="20">
        <f>IF($C199="","",IFERROR(INDEX('Référentiel'!$K$2:$K$83,MATCH($C199,'Référentiel'!$A$2:$A$83,0)),""))</f>
      </c>
      <c r="W199" s="20">
        <f>IF(AND(ISNUMBER($G199),$I199&lt;&gt;"Hors service",$I199&lt;&gt;"Location terminée"),$G199+ROW()/100000,"")</f>
      </c>
      <c r="X199" s="9"/>
    </row>
    <row r="200" spans="1:24" x14ac:dyDescent="0.25">
      <c r="A200" s="9"/>
      <c r="B200" s="9"/>
      <c r="C200" s="9"/>
      <c r="D200" s="9"/>
      <c r="E200" s="19">
        <f>IF($A200="","",IF(SUMPRODUCT(MAX((Vérifications!$B$2:$B$1001=$A200)*Vérifications!$L$2:$L$1001))=0,"",SUMPRODUCT(MAX((Vérifications!$B$2:$B$1001=$A200)*Vérifications!$L$2:$L$1001))))</f>
      </c>
      <c r="F200" s="20">
        <f>IF($E200="","",IFERROR(INDEX(Vérifications!$E$2:$E$1001,MATCH($A200&amp;"|"&amp;$E200,Vérifications!$M$2:$M$1001,0)),""))</f>
      </c>
      <c r="G200" s="19">
        <f>IF($N200="","",IF(ISNUMBER($E200),EDATE($E200,$N200),IF(AND(ISNUMBER($U200),IFERROR(INDEX('Référentiel'!$E$2:$E$83,MATCH($C200,'Référentiel'!$A$2:$A$83,0)),0)&gt;0),EDATE($U200,IFERROR(INDEX('Référentiel'!$E$2:$E$83,MATCH($C200,'Référentiel'!$A$2:$A$83,0)),0)),"")))</f>
      </c>
      <c r="H200" s="21">
        <f>IF(ISNUMBER($G200),$G200-TODAY(),"")</f>
      </c>
      <c r="I200" s="20">
        <f>IF(AND($A200="",$C200=""),"",IF($T200="Non","Hors service",IF(AND($Q200="Location",ISNUMBER($R200),$R200&lt;TODAY()),"Location terminée",IF(OR($F200="Mise à l'arrêt",IF($A200="",0,SUMPRODUCT((Réserves!$B$2:$B$301=$A200)*(Réserves!$E$2:$E$301="Mise à l'arrêt")*(Réserves!$J$2:$J$301&lt;&gt;"Levée")*(Réserves!$J$2:$J$301&lt;&gt;"")))&gt;0),"Arrêt : réserve à lever",IF($C200="","Type à choisir",IF($N200="","Périodicité à saisir",IF(OR(ISTEXT($U200),ISTEXT($R200)),"Date à corriger",IF(AND($E200="",$Q200="Location",$S200&lt;&gt;"Oui"),"Rapport loueur à obtenir",IF(NOT(ISNUMBER($G200)),"Vérif. initiale à tracer",IF($H200&lt;0,"En retard",IF(AND($Q200="Location",$S200&lt;&gt;"Oui"),"Rapport loueur à obtenir",IF($H200&lt;='Tableau de bord'!$C$4,"À planifier","À jour"))))))))))))</f>
      </c>
      <c r="J200" s="22">
        <f>IF($A200="","",COUNTIFS(Réserves!$B$2:$B$301,$A200,Réserves!$J$2:$J$301,"Ouverte")+COUNTIFS(Réserves!$B$2:$B$301,$A200,Réserves!$J$2:$J$301,"En retard"))</f>
      </c>
      <c r="K200" s="20">
        <f>IF($C200="","",IFERROR(INDEX('Référentiel'!$B$2:$B$83,MATCH($C200,'Référentiel'!$A$2:$A$83,0)),"Type hors liste"))</f>
      </c>
      <c r="L200" s="22">
        <f>IF($C200="","",IF(IFERROR(INDEX('Référentiel'!$C$2:$C$83,MATCH($C200,'Référentiel'!$A$2:$A$83,0)),0)=0,"",IFERROR(INDEX('Référentiel'!$C$2:$C$83,MATCH($C200,'Référentiel'!$A$2:$A$83,0)),0)))</f>
      </c>
      <c r="M200" s="23"/>
      <c r="N200" s="22">
        <f>IF($C200="","",IF(IF($M200&lt;&gt;"",IF($L200&lt;&gt;"",MIN($L200,$M200),$M200),IF($L200&lt;&gt;"",$L200,IF(IFERROR(INDEX('Référentiel'!$D$2:$D$83,MATCH($C200,'Référentiel'!$A$2:$A$83,0)),0)&gt;0,IFERROR(INDEX('Référentiel'!$D$2:$D$83,MATCH($C200,'Référentiel'!$A$2:$A$83,0)),0),"")))="","",IF(AND(IFERROR(INDEX('Référentiel'!$F$2:$F$83,MATCH($C200,'Référentiel'!$A$2:$A$83,0)),0)&gt;0,N($J200)&gt;0),MIN(IF($M200&lt;&gt;"",IF($L200&lt;&gt;"",MIN($L200,$M200),$M200),IF($L200&lt;&gt;"",$L200,IF(IFERROR(INDEX('Référentiel'!$D$2:$D$83,MATCH($C200,'Référentiel'!$A$2:$A$83,0)),0)&gt;0,IFERROR(INDEX('Référentiel'!$D$2:$D$83,MATCH($C200,'Référentiel'!$A$2:$A$83,0)),0),""))),IFERROR(INDEX('Référentiel'!$F$2:$F$83,MATCH($C200,'Référentiel'!$A$2:$A$83,0)),0)),IF($M200&lt;&gt;"",IF($L200&lt;&gt;"",MIN($L200,$M200),$M200),IF($L200&lt;&gt;"",$L200,IF(IFERROR(INDEX('Référentiel'!$D$2:$D$83,MATCH($C200,'Référentiel'!$A$2:$A$83,0)),0)&gt;0,IFERROR(INDEX('Référentiel'!$D$2:$D$83,MATCH($C200,'Référentiel'!$A$2:$A$83,0)),0),""))))))</f>
      </c>
      <c r="O200" s="9"/>
      <c r="P200" s="23"/>
      <c r="Q200" s="9"/>
      <c r="R200" s="24"/>
      <c r="S200" s="23"/>
      <c r="T200" s="23"/>
      <c r="U200" s="24"/>
      <c r="V200" s="20">
        <f>IF($C200="","",IFERROR(INDEX('Référentiel'!$K$2:$K$83,MATCH($C200,'Référentiel'!$A$2:$A$83,0)),""))</f>
      </c>
      <c r="W200" s="20">
        <f>IF(AND(ISNUMBER($G200),$I200&lt;&gt;"Hors service",$I200&lt;&gt;"Location terminée"),$G200+ROW()/100000,"")</f>
      </c>
      <c r="X200" s="9"/>
    </row>
    <row r="201" spans="1:24" x14ac:dyDescent="0.25">
      <c r="A201" s="9"/>
      <c r="B201" s="9"/>
      <c r="C201" s="9"/>
      <c r="D201" s="9"/>
      <c r="E201" s="19">
        <f>IF($A201="","",IF(SUMPRODUCT(MAX((Vérifications!$B$2:$B$1001=$A201)*Vérifications!$L$2:$L$1001))=0,"",SUMPRODUCT(MAX((Vérifications!$B$2:$B$1001=$A201)*Vérifications!$L$2:$L$1001))))</f>
      </c>
      <c r="F201" s="20">
        <f>IF($E201="","",IFERROR(INDEX(Vérifications!$E$2:$E$1001,MATCH($A201&amp;"|"&amp;$E201,Vérifications!$M$2:$M$1001,0)),""))</f>
      </c>
      <c r="G201" s="19">
        <f>IF($N201="","",IF(ISNUMBER($E201),EDATE($E201,$N201),IF(AND(ISNUMBER($U201),IFERROR(INDEX('Référentiel'!$E$2:$E$83,MATCH($C201,'Référentiel'!$A$2:$A$83,0)),0)&gt;0),EDATE($U201,IFERROR(INDEX('Référentiel'!$E$2:$E$83,MATCH($C201,'Référentiel'!$A$2:$A$83,0)),0)),"")))</f>
      </c>
      <c r="H201" s="21">
        <f>IF(ISNUMBER($G201),$G201-TODAY(),"")</f>
      </c>
      <c r="I201" s="20">
        <f>IF(AND($A201="",$C201=""),"",IF($T201="Non","Hors service",IF(AND($Q201="Location",ISNUMBER($R201),$R201&lt;TODAY()),"Location terminée",IF(OR($F201="Mise à l'arrêt",IF($A201="",0,SUMPRODUCT((Réserves!$B$2:$B$301=$A201)*(Réserves!$E$2:$E$301="Mise à l'arrêt")*(Réserves!$J$2:$J$301&lt;&gt;"Levée")*(Réserves!$J$2:$J$301&lt;&gt;"")))&gt;0),"Arrêt : réserve à lever",IF($C201="","Type à choisir",IF($N201="","Périodicité à saisir",IF(OR(ISTEXT($U201),ISTEXT($R201)),"Date à corriger",IF(AND($E201="",$Q201="Location",$S201&lt;&gt;"Oui"),"Rapport loueur à obtenir",IF(NOT(ISNUMBER($G201)),"Vérif. initiale à tracer",IF($H201&lt;0,"En retard",IF(AND($Q201="Location",$S201&lt;&gt;"Oui"),"Rapport loueur à obtenir",IF($H201&lt;='Tableau de bord'!$C$4,"À planifier","À jour"))))))))))))</f>
      </c>
      <c r="J201" s="22">
        <f>IF($A201="","",COUNTIFS(Réserves!$B$2:$B$301,$A201,Réserves!$J$2:$J$301,"Ouverte")+COUNTIFS(Réserves!$B$2:$B$301,$A201,Réserves!$J$2:$J$301,"En retard"))</f>
      </c>
      <c r="K201" s="20">
        <f>IF($C201="","",IFERROR(INDEX('Référentiel'!$B$2:$B$83,MATCH($C201,'Référentiel'!$A$2:$A$83,0)),"Type hors liste"))</f>
      </c>
      <c r="L201" s="22">
        <f>IF($C201="","",IF(IFERROR(INDEX('Référentiel'!$C$2:$C$83,MATCH($C201,'Référentiel'!$A$2:$A$83,0)),0)=0,"",IFERROR(INDEX('Référentiel'!$C$2:$C$83,MATCH($C201,'Référentiel'!$A$2:$A$83,0)),0)))</f>
      </c>
      <c r="M201" s="23"/>
      <c r="N201" s="22">
        <f>IF($C201="","",IF(IF($M201&lt;&gt;"",IF($L201&lt;&gt;"",MIN($L201,$M201),$M201),IF($L201&lt;&gt;"",$L201,IF(IFERROR(INDEX('Référentiel'!$D$2:$D$83,MATCH($C201,'Référentiel'!$A$2:$A$83,0)),0)&gt;0,IFERROR(INDEX('Référentiel'!$D$2:$D$83,MATCH($C201,'Référentiel'!$A$2:$A$83,0)),0),"")))="","",IF(AND(IFERROR(INDEX('Référentiel'!$F$2:$F$83,MATCH($C201,'Référentiel'!$A$2:$A$83,0)),0)&gt;0,N($J201)&gt;0),MIN(IF($M201&lt;&gt;"",IF($L201&lt;&gt;"",MIN($L201,$M201),$M201),IF($L201&lt;&gt;"",$L201,IF(IFERROR(INDEX('Référentiel'!$D$2:$D$83,MATCH($C201,'Référentiel'!$A$2:$A$83,0)),0)&gt;0,IFERROR(INDEX('Référentiel'!$D$2:$D$83,MATCH($C201,'Référentiel'!$A$2:$A$83,0)),0),""))),IFERROR(INDEX('Référentiel'!$F$2:$F$83,MATCH($C201,'Référentiel'!$A$2:$A$83,0)),0)),IF($M201&lt;&gt;"",IF($L201&lt;&gt;"",MIN($L201,$M201),$M201),IF($L201&lt;&gt;"",$L201,IF(IFERROR(INDEX('Référentiel'!$D$2:$D$83,MATCH($C201,'Référentiel'!$A$2:$A$83,0)),0)&gt;0,IFERROR(INDEX('Référentiel'!$D$2:$D$83,MATCH($C201,'Référentiel'!$A$2:$A$83,0)),0),""))))))</f>
      </c>
      <c r="O201" s="9"/>
      <c r="P201" s="23"/>
      <c r="Q201" s="9"/>
      <c r="R201" s="24"/>
      <c r="S201" s="23"/>
      <c r="T201" s="23"/>
      <c r="U201" s="24"/>
      <c r="V201" s="20">
        <f>IF($C201="","",IFERROR(INDEX('Référentiel'!$K$2:$K$83,MATCH($C201,'Référentiel'!$A$2:$A$83,0)),""))</f>
      </c>
      <c r="W201" s="20">
        <f>IF(AND(ISNUMBER($G201),$I201&lt;&gt;"Hors service",$I201&lt;&gt;"Location terminée"),$G201+ROW()/100000,"")</f>
      </c>
      <c r="X201" s="9"/>
    </row>
    <row r="202" spans="1:24" x14ac:dyDescent="0.25">
      <c r="A202" s="9"/>
      <c r="B202" s="9"/>
      <c r="C202" s="9"/>
      <c r="D202" s="9"/>
      <c r="E202" s="19">
        <f>IF($A202="","",IF(SUMPRODUCT(MAX((Vérifications!$B$2:$B$1001=$A202)*Vérifications!$L$2:$L$1001))=0,"",SUMPRODUCT(MAX((Vérifications!$B$2:$B$1001=$A202)*Vérifications!$L$2:$L$1001))))</f>
      </c>
      <c r="F202" s="20">
        <f>IF($E202="","",IFERROR(INDEX(Vérifications!$E$2:$E$1001,MATCH($A202&amp;"|"&amp;$E202,Vérifications!$M$2:$M$1001,0)),""))</f>
      </c>
      <c r="G202" s="19">
        <f>IF($N202="","",IF(ISNUMBER($E202),EDATE($E202,$N202),IF(AND(ISNUMBER($U202),IFERROR(INDEX('Référentiel'!$E$2:$E$83,MATCH($C202,'Référentiel'!$A$2:$A$83,0)),0)&gt;0),EDATE($U202,IFERROR(INDEX('Référentiel'!$E$2:$E$83,MATCH($C202,'Référentiel'!$A$2:$A$83,0)),0)),"")))</f>
      </c>
      <c r="H202" s="21">
        <f>IF(ISNUMBER($G202),$G202-TODAY(),"")</f>
      </c>
      <c r="I202" s="20">
        <f>IF(AND($A202="",$C202=""),"",IF($T202="Non","Hors service",IF(AND($Q202="Location",ISNUMBER($R202),$R202&lt;TODAY()),"Location terminée",IF(OR($F202="Mise à l'arrêt",IF($A202="",0,SUMPRODUCT((Réserves!$B$2:$B$301=$A202)*(Réserves!$E$2:$E$301="Mise à l'arrêt")*(Réserves!$J$2:$J$301&lt;&gt;"Levée")*(Réserves!$J$2:$J$301&lt;&gt;"")))&gt;0),"Arrêt : réserve à lever",IF($C202="","Type à choisir",IF($N202="","Périodicité à saisir",IF(OR(ISTEXT($U202),ISTEXT($R202)),"Date à corriger",IF(AND($E202="",$Q202="Location",$S202&lt;&gt;"Oui"),"Rapport loueur à obtenir",IF(NOT(ISNUMBER($G202)),"Vérif. initiale à tracer",IF($H202&lt;0,"En retard",IF(AND($Q202="Location",$S202&lt;&gt;"Oui"),"Rapport loueur à obtenir",IF($H202&lt;='Tableau de bord'!$C$4,"À planifier","À jour"))))))))))))</f>
      </c>
      <c r="J202" s="22">
        <f>IF($A202="","",COUNTIFS(Réserves!$B$2:$B$301,$A202,Réserves!$J$2:$J$301,"Ouverte")+COUNTIFS(Réserves!$B$2:$B$301,$A202,Réserves!$J$2:$J$301,"En retard"))</f>
      </c>
      <c r="K202" s="20">
        <f>IF($C202="","",IFERROR(INDEX('Référentiel'!$B$2:$B$83,MATCH($C202,'Référentiel'!$A$2:$A$83,0)),"Type hors liste"))</f>
      </c>
      <c r="L202" s="22">
        <f>IF($C202="","",IF(IFERROR(INDEX('Référentiel'!$C$2:$C$83,MATCH($C202,'Référentiel'!$A$2:$A$83,0)),0)=0,"",IFERROR(INDEX('Référentiel'!$C$2:$C$83,MATCH($C202,'Référentiel'!$A$2:$A$83,0)),0)))</f>
      </c>
      <c r="M202" s="23"/>
      <c r="N202" s="22">
        <f>IF($C202="","",IF(IF($M202&lt;&gt;"",IF($L202&lt;&gt;"",MIN($L202,$M202),$M202),IF($L202&lt;&gt;"",$L202,IF(IFERROR(INDEX('Référentiel'!$D$2:$D$83,MATCH($C202,'Référentiel'!$A$2:$A$83,0)),0)&gt;0,IFERROR(INDEX('Référentiel'!$D$2:$D$83,MATCH($C202,'Référentiel'!$A$2:$A$83,0)),0),"")))="","",IF(AND(IFERROR(INDEX('Référentiel'!$F$2:$F$83,MATCH($C202,'Référentiel'!$A$2:$A$83,0)),0)&gt;0,N($J202)&gt;0),MIN(IF($M202&lt;&gt;"",IF($L202&lt;&gt;"",MIN($L202,$M202),$M202),IF($L202&lt;&gt;"",$L202,IF(IFERROR(INDEX('Référentiel'!$D$2:$D$83,MATCH($C202,'Référentiel'!$A$2:$A$83,0)),0)&gt;0,IFERROR(INDEX('Référentiel'!$D$2:$D$83,MATCH($C202,'Référentiel'!$A$2:$A$83,0)),0),""))),IFERROR(INDEX('Référentiel'!$F$2:$F$83,MATCH($C202,'Référentiel'!$A$2:$A$83,0)),0)),IF($M202&lt;&gt;"",IF($L202&lt;&gt;"",MIN($L202,$M202),$M202),IF($L202&lt;&gt;"",$L202,IF(IFERROR(INDEX('Référentiel'!$D$2:$D$83,MATCH($C202,'Référentiel'!$A$2:$A$83,0)),0)&gt;0,IFERROR(INDEX('Référentiel'!$D$2:$D$83,MATCH($C202,'Référentiel'!$A$2:$A$83,0)),0),""))))))</f>
      </c>
      <c r="O202" s="9"/>
      <c r="P202" s="23"/>
      <c r="Q202" s="9"/>
      <c r="R202" s="24"/>
      <c r="S202" s="23"/>
      <c r="T202" s="23"/>
      <c r="U202" s="24"/>
      <c r="V202" s="20">
        <f>IF($C202="","",IFERROR(INDEX('Référentiel'!$K$2:$K$83,MATCH($C202,'Référentiel'!$A$2:$A$83,0)),""))</f>
      </c>
      <c r="W202" s="20">
        <f>IF(AND(ISNUMBER($G202),$I202&lt;&gt;"Hors service",$I202&lt;&gt;"Location terminée"),$G202+ROW()/100000,"")</f>
      </c>
      <c r="X202" s="9"/>
    </row>
    <row r="203" spans="1:24" x14ac:dyDescent="0.25">
      <c r="A203" s="9"/>
      <c r="B203" s="9"/>
      <c r="C203" s="9"/>
      <c r="D203" s="9"/>
      <c r="E203" s="19">
        <f>IF($A203="","",IF(SUMPRODUCT(MAX((Vérifications!$B$2:$B$1001=$A203)*Vérifications!$L$2:$L$1001))=0,"",SUMPRODUCT(MAX((Vérifications!$B$2:$B$1001=$A203)*Vérifications!$L$2:$L$1001))))</f>
      </c>
      <c r="F203" s="20">
        <f>IF($E203="","",IFERROR(INDEX(Vérifications!$E$2:$E$1001,MATCH($A203&amp;"|"&amp;$E203,Vérifications!$M$2:$M$1001,0)),""))</f>
      </c>
      <c r="G203" s="19">
        <f>IF($N203="","",IF(ISNUMBER($E203),EDATE($E203,$N203),IF(AND(ISNUMBER($U203),IFERROR(INDEX('Référentiel'!$E$2:$E$83,MATCH($C203,'Référentiel'!$A$2:$A$83,0)),0)&gt;0),EDATE($U203,IFERROR(INDEX('Référentiel'!$E$2:$E$83,MATCH($C203,'Référentiel'!$A$2:$A$83,0)),0)),"")))</f>
      </c>
      <c r="H203" s="21">
        <f>IF(ISNUMBER($G203),$G203-TODAY(),"")</f>
      </c>
      <c r="I203" s="20">
        <f>IF(AND($A203="",$C203=""),"",IF($T203="Non","Hors service",IF(AND($Q203="Location",ISNUMBER($R203),$R203&lt;TODAY()),"Location terminée",IF(OR($F203="Mise à l'arrêt",IF($A203="",0,SUMPRODUCT((Réserves!$B$2:$B$301=$A203)*(Réserves!$E$2:$E$301="Mise à l'arrêt")*(Réserves!$J$2:$J$301&lt;&gt;"Levée")*(Réserves!$J$2:$J$301&lt;&gt;"")))&gt;0),"Arrêt : réserve à lever",IF($C203="","Type à choisir",IF($N203="","Périodicité à saisir",IF(OR(ISTEXT($U203),ISTEXT($R203)),"Date à corriger",IF(AND($E203="",$Q203="Location",$S203&lt;&gt;"Oui"),"Rapport loueur à obtenir",IF(NOT(ISNUMBER($G203)),"Vérif. initiale à tracer",IF($H203&lt;0,"En retard",IF(AND($Q203="Location",$S203&lt;&gt;"Oui"),"Rapport loueur à obtenir",IF($H203&lt;='Tableau de bord'!$C$4,"À planifier","À jour"))))))))))))</f>
      </c>
      <c r="J203" s="22">
        <f>IF($A203="","",COUNTIFS(Réserves!$B$2:$B$301,$A203,Réserves!$J$2:$J$301,"Ouverte")+COUNTIFS(Réserves!$B$2:$B$301,$A203,Réserves!$J$2:$J$301,"En retard"))</f>
      </c>
      <c r="K203" s="20">
        <f>IF($C203="","",IFERROR(INDEX('Référentiel'!$B$2:$B$83,MATCH($C203,'Référentiel'!$A$2:$A$83,0)),"Type hors liste"))</f>
      </c>
      <c r="L203" s="22">
        <f>IF($C203="","",IF(IFERROR(INDEX('Référentiel'!$C$2:$C$83,MATCH($C203,'Référentiel'!$A$2:$A$83,0)),0)=0,"",IFERROR(INDEX('Référentiel'!$C$2:$C$83,MATCH($C203,'Référentiel'!$A$2:$A$83,0)),0)))</f>
      </c>
      <c r="M203" s="23"/>
      <c r="N203" s="22">
        <f>IF($C203="","",IF(IF($M203&lt;&gt;"",IF($L203&lt;&gt;"",MIN($L203,$M203),$M203),IF($L203&lt;&gt;"",$L203,IF(IFERROR(INDEX('Référentiel'!$D$2:$D$83,MATCH($C203,'Référentiel'!$A$2:$A$83,0)),0)&gt;0,IFERROR(INDEX('Référentiel'!$D$2:$D$83,MATCH($C203,'Référentiel'!$A$2:$A$83,0)),0),"")))="","",IF(AND(IFERROR(INDEX('Référentiel'!$F$2:$F$83,MATCH($C203,'Référentiel'!$A$2:$A$83,0)),0)&gt;0,N($J203)&gt;0),MIN(IF($M203&lt;&gt;"",IF($L203&lt;&gt;"",MIN($L203,$M203),$M203),IF($L203&lt;&gt;"",$L203,IF(IFERROR(INDEX('Référentiel'!$D$2:$D$83,MATCH($C203,'Référentiel'!$A$2:$A$83,0)),0)&gt;0,IFERROR(INDEX('Référentiel'!$D$2:$D$83,MATCH($C203,'Référentiel'!$A$2:$A$83,0)),0),""))),IFERROR(INDEX('Référentiel'!$F$2:$F$83,MATCH($C203,'Référentiel'!$A$2:$A$83,0)),0)),IF($M203&lt;&gt;"",IF($L203&lt;&gt;"",MIN($L203,$M203),$M203),IF($L203&lt;&gt;"",$L203,IF(IFERROR(INDEX('Référentiel'!$D$2:$D$83,MATCH($C203,'Référentiel'!$A$2:$A$83,0)),0)&gt;0,IFERROR(INDEX('Référentiel'!$D$2:$D$83,MATCH($C203,'Référentiel'!$A$2:$A$83,0)),0),""))))))</f>
      </c>
      <c r="O203" s="9"/>
      <c r="P203" s="23"/>
      <c r="Q203" s="9"/>
      <c r="R203" s="24"/>
      <c r="S203" s="23"/>
      <c r="T203" s="23"/>
      <c r="U203" s="24"/>
      <c r="V203" s="20">
        <f>IF($C203="","",IFERROR(INDEX('Référentiel'!$K$2:$K$83,MATCH($C203,'Référentiel'!$A$2:$A$83,0)),""))</f>
      </c>
      <c r="W203" s="20">
        <f>IF(AND(ISNUMBER($G203),$I203&lt;&gt;"Hors service",$I203&lt;&gt;"Location terminée"),$G203+ROW()/100000,"")</f>
      </c>
      <c r="X203" s="9"/>
    </row>
    <row r="204" spans="1:24" x14ac:dyDescent="0.25">
      <c r="A204" s="9"/>
      <c r="B204" s="9"/>
      <c r="C204" s="9"/>
      <c r="D204" s="9"/>
      <c r="E204" s="19">
        <f>IF($A204="","",IF(SUMPRODUCT(MAX((Vérifications!$B$2:$B$1001=$A204)*Vérifications!$L$2:$L$1001))=0,"",SUMPRODUCT(MAX((Vérifications!$B$2:$B$1001=$A204)*Vérifications!$L$2:$L$1001))))</f>
      </c>
      <c r="F204" s="20">
        <f>IF($E204="","",IFERROR(INDEX(Vérifications!$E$2:$E$1001,MATCH($A204&amp;"|"&amp;$E204,Vérifications!$M$2:$M$1001,0)),""))</f>
      </c>
      <c r="G204" s="19">
        <f>IF($N204="","",IF(ISNUMBER($E204),EDATE($E204,$N204),IF(AND(ISNUMBER($U204),IFERROR(INDEX('Référentiel'!$E$2:$E$83,MATCH($C204,'Référentiel'!$A$2:$A$83,0)),0)&gt;0),EDATE($U204,IFERROR(INDEX('Référentiel'!$E$2:$E$83,MATCH($C204,'Référentiel'!$A$2:$A$83,0)),0)),"")))</f>
      </c>
      <c r="H204" s="21">
        <f>IF(ISNUMBER($G204),$G204-TODAY(),"")</f>
      </c>
      <c r="I204" s="20">
        <f>IF(AND($A204="",$C204=""),"",IF($T204="Non","Hors service",IF(AND($Q204="Location",ISNUMBER($R204),$R204&lt;TODAY()),"Location terminée",IF(OR($F204="Mise à l'arrêt",IF($A204="",0,SUMPRODUCT((Réserves!$B$2:$B$301=$A204)*(Réserves!$E$2:$E$301="Mise à l'arrêt")*(Réserves!$J$2:$J$301&lt;&gt;"Levée")*(Réserves!$J$2:$J$301&lt;&gt;"")))&gt;0),"Arrêt : réserve à lever",IF($C204="","Type à choisir",IF($N204="","Périodicité à saisir",IF(OR(ISTEXT($U204),ISTEXT($R204)),"Date à corriger",IF(AND($E204="",$Q204="Location",$S204&lt;&gt;"Oui"),"Rapport loueur à obtenir",IF(NOT(ISNUMBER($G204)),"Vérif. initiale à tracer",IF($H204&lt;0,"En retard",IF(AND($Q204="Location",$S204&lt;&gt;"Oui"),"Rapport loueur à obtenir",IF($H204&lt;='Tableau de bord'!$C$4,"À planifier","À jour"))))))))))))</f>
      </c>
      <c r="J204" s="22">
        <f>IF($A204="","",COUNTIFS(Réserves!$B$2:$B$301,$A204,Réserves!$J$2:$J$301,"Ouverte")+COUNTIFS(Réserves!$B$2:$B$301,$A204,Réserves!$J$2:$J$301,"En retard"))</f>
      </c>
      <c r="K204" s="20">
        <f>IF($C204="","",IFERROR(INDEX('Référentiel'!$B$2:$B$83,MATCH($C204,'Référentiel'!$A$2:$A$83,0)),"Type hors liste"))</f>
      </c>
      <c r="L204" s="22">
        <f>IF($C204="","",IF(IFERROR(INDEX('Référentiel'!$C$2:$C$83,MATCH($C204,'Référentiel'!$A$2:$A$83,0)),0)=0,"",IFERROR(INDEX('Référentiel'!$C$2:$C$83,MATCH($C204,'Référentiel'!$A$2:$A$83,0)),0)))</f>
      </c>
      <c r="M204" s="23"/>
      <c r="N204" s="22">
        <f>IF($C204="","",IF(IF($M204&lt;&gt;"",IF($L204&lt;&gt;"",MIN($L204,$M204),$M204),IF($L204&lt;&gt;"",$L204,IF(IFERROR(INDEX('Référentiel'!$D$2:$D$83,MATCH($C204,'Référentiel'!$A$2:$A$83,0)),0)&gt;0,IFERROR(INDEX('Référentiel'!$D$2:$D$83,MATCH($C204,'Référentiel'!$A$2:$A$83,0)),0),"")))="","",IF(AND(IFERROR(INDEX('Référentiel'!$F$2:$F$83,MATCH($C204,'Référentiel'!$A$2:$A$83,0)),0)&gt;0,N($J204)&gt;0),MIN(IF($M204&lt;&gt;"",IF($L204&lt;&gt;"",MIN($L204,$M204),$M204),IF($L204&lt;&gt;"",$L204,IF(IFERROR(INDEX('Référentiel'!$D$2:$D$83,MATCH($C204,'Référentiel'!$A$2:$A$83,0)),0)&gt;0,IFERROR(INDEX('Référentiel'!$D$2:$D$83,MATCH($C204,'Référentiel'!$A$2:$A$83,0)),0),""))),IFERROR(INDEX('Référentiel'!$F$2:$F$83,MATCH($C204,'Référentiel'!$A$2:$A$83,0)),0)),IF($M204&lt;&gt;"",IF($L204&lt;&gt;"",MIN($L204,$M204),$M204),IF($L204&lt;&gt;"",$L204,IF(IFERROR(INDEX('Référentiel'!$D$2:$D$83,MATCH($C204,'Référentiel'!$A$2:$A$83,0)),0)&gt;0,IFERROR(INDEX('Référentiel'!$D$2:$D$83,MATCH($C204,'Référentiel'!$A$2:$A$83,0)),0),""))))))</f>
      </c>
      <c r="O204" s="9"/>
      <c r="P204" s="23"/>
      <c r="Q204" s="9"/>
      <c r="R204" s="24"/>
      <c r="S204" s="23"/>
      <c r="T204" s="23"/>
      <c r="U204" s="24"/>
      <c r="V204" s="20">
        <f>IF($C204="","",IFERROR(INDEX('Référentiel'!$K$2:$K$83,MATCH($C204,'Référentiel'!$A$2:$A$83,0)),""))</f>
      </c>
      <c r="W204" s="20">
        <f>IF(AND(ISNUMBER($G204),$I204&lt;&gt;"Hors service",$I204&lt;&gt;"Location terminée"),$G204+ROW()/100000,"")</f>
      </c>
      <c r="X204" s="9"/>
    </row>
    <row r="205" spans="1:24" x14ac:dyDescent="0.25">
      <c r="A205" s="9"/>
      <c r="B205" s="9"/>
      <c r="C205" s="9"/>
      <c r="D205" s="9"/>
      <c r="E205" s="19">
        <f>IF($A205="","",IF(SUMPRODUCT(MAX((Vérifications!$B$2:$B$1001=$A205)*Vérifications!$L$2:$L$1001))=0,"",SUMPRODUCT(MAX((Vérifications!$B$2:$B$1001=$A205)*Vérifications!$L$2:$L$1001))))</f>
      </c>
      <c r="F205" s="20">
        <f>IF($E205="","",IFERROR(INDEX(Vérifications!$E$2:$E$1001,MATCH($A205&amp;"|"&amp;$E205,Vérifications!$M$2:$M$1001,0)),""))</f>
      </c>
      <c r="G205" s="19">
        <f>IF($N205="","",IF(ISNUMBER($E205),EDATE($E205,$N205),IF(AND(ISNUMBER($U205),IFERROR(INDEX('Référentiel'!$E$2:$E$83,MATCH($C205,'Référentiel'!$A$2:$A$83,0)),0)&gt;0),EDATE($U205,IFERROR(INDEX('Référentiel'!$E$2:$E$83,MATCH($C205,'Référentiel'!$A$2:$A$83,0)),0)),"")))</f>
      </c>
      <c r="H205" s="21">
        <f>IF(ISNUMBER($G205),$G205-TODAY(),"")</f>
      </c>
      <c r="I205" s="20">
        <f>IF(AND($A205="",$C205=""),"",IF($T205="Non","Hors service",IF(AND($Q205="Location",ISNUMBER($R205),$R205&lt;TODAY()),"Location terminée",IF(OR($F205="Mise à l'arrêt",IF($A205="",0,SUMPRODUCT((Réserves!$B$2:$B$301=$A205)*(Réserves!$E$2:$E$301="Mise à l'arrêt")*(Réserves!$J$2:$J$301&lt;&gt;"Levée")*(Réserves!$J$2:$J$301&lt;&gt;"")))&gt;0),"Arrêt : réserve à lever",IF($C205="","Type à choisir",IF($N205="","Périodicité à saisir",IF(OR(ISTEXT($U205),ISTEXT($R205)),"Date à corriger",IF(AND($E205="",$Q205="Location",$S205&lt;&gt;"Oui"),"Rapport loueur à obtenir",IF(NOT(ISNUMBER($G205)),"Vérif. initiale à tracer",IF($H205&lt;0,"En retard",IF(AND($Q205="Location",$S205&lt;&gt;"Oui"),"Rapport loueur à obtenir",IF($H205&lt;='Tableau de bord'!$C$4,"À planifier","À jour"))))))))))))</f>
      </c>
      <c r="J205" s="22">
        <f>IF($A205="","",COUNTIFS(Réserves!$B$2:$B$301,$A205,Réserves!$J$2:$J$301,"Ouverte")+COUNTIFS(Réserves!$B$2:$B$301,$A205,Réserves!$J$2:$J$301,"En retard"))</f>
      </c>
      <c r="K205" s="20">
        <f>IF($C205="","",IFERROR(INDEX('Référentiel'!$B$2:$B$83,MATCH($C205,'Référentiel'!$A$2:$A$83,0)),"Type hors liste"))</f>
      </c>
      <c r="L205" s="22">
        <f>IF($C205="","",IF(IFERROR(INDEX('Référentiel'!$C$2:$C$83,MATCH($C205,'Référentiel'!$A$2:$A$83,0)),0)=0,"",IFERROR(INDEX('Référentiel'!$C$2:$C$83,MATCH($C205,'Référentiel'!$A$2:$A$83,0)),0)))</f>
      </c>
      <c r="M205" s="23"/>
      <c r="N205" s="22">
        <f>IF($C205="","",IF(IF($M205&lt;&gt;"",IF($L205&lt;&gt;"",MIN($L205,$M205),$M205),IF($L205&lt;&gt;"",$L205,IF(IFERROR(INDEX('Référentiel'!$D$2:$D$83,MATCH($C205,'Référentiel'!$A$2:$A$83,0)),0)&gt;0,IFERROR(INDEX('Référentiel'!$D$2:$D$83,MATCH($C205,'Référentiel'!$A$2:$A$83,0)),0),"")))="","",IF(AND(IFERROR(INDEX('Référentiel'!$F$2:$F$83,MATCH($C205,'Référentiel'!$A$2:$A$83,0)),0)&gt;0,N($J205)&gt;0),MIN(IF($M205&lt;&gt;"",IF($L205&lt;&gt;"",MIN($L205,$M205),$M205),IF($L205&lt;&gt;"",$L205,IF(IFERROR(INDEX('Référentiel'!$D$2:$D$83,MATCH($C205,'Référentiel'!$A$2:$A$83,0)),0)&gt;0,IFERROR(INDEX('Référentiel'!$D$2:$D$83,MATCH($C205,'Référentiel'!$A$2:$A$83,0)),0),""))),IFERROR(INDEX('Référentiel'!$F$2:$F$83,MATCH($C205,'Référentiel'!$A$2:$A$83,0)),0)),IF($M205&lt;&gt;"",IF($L205&lt;&gt;"",MIN($L205,$M205),$M205),IF($L205&lt;&gt;"",$L205,IF(IFERROR(INDEX('Référentiel'!$D$2:$D$83,MATCH($C205,'Référentiel'!$A$2:$A$83,0)),0)&gt;0,IFERROR(INDEX('Référentiel'!$D$2:$D$83,MATCH($C205,'Référentiel'!$A$2:$A$83,0)),0),""))))))</f>
      </c>
      <c r="O205" s="9"/>
      <c r="P205" s="23"/>
      <c r="Q205" s="9"/>
      <c r="R205" s="24"/>
      <c r="S205" s="23"/>
      <c r="T205" s="23"/>
      <c r="U205" s="24"/>
      <c r="V205" s="20">
        <f>IF($C205="","",IFERROR(INDEX('Référentiel'!$K$2:$K$83,MATCH($C205,'Référentiel'!$A$2:$A$83,0)),""))</f>
      </c>
      <c r="W205" s="20">
        <f>IF(AND(ISNUMBER($G205),$I205&lt;&gt;"Hors service",$I205&lt;&gt;"Location terminée"),$G205+ROW()/100000,"")</f>
      </c>
      <c r="X205" s="9"/>
    </row>
    <row r="206" spans="1:24" x14ac:dyDescent="0.25">
      <c r="A206" s="9"/>
      <c r="B206" s="9"/>
      <c r="C206" s="9"/>
      <c r="D206" s="9"/>
      <c r="E206" s="19">
        <f>IF($A206="","",IF(SUMPRODUCT(MAX((Vérifications!$B$2:$B$1001=$A206)*Vérifications!$L$2:$L$1001))=0,"",SUMPRODUCT(MAX((Vérifications!$B$2:$B$1001=$A206)*Vérifications!$L$2:$L$1001))))</f>
      </c>
      <c r="F206" s="20">
        <f>IF($E206="","",IFERROR(INDEX(Vérifications!$E$2:$E$1001,MATCH($A206&amp;"|"&amp;$E206,Vérifications!$M$2:$M$1001,0)),""))</f>
      </c>
      <c r="G206" s="19">
        <f>IF($N206="","",IF(ISNUMBER($E206),EDATE($E206,$N206),IF(AND(ISNUMBER($U206),IFERROR(INDEX('Référentiel'!$E$2:$E$83,MATCH($C206,'Référentiel'!$A$2:$A$83,0)),0)&gt;0),EDATE($U206,IFERROR(INDEX('Référentiel'!$E$2:$E$83,MATCH($C206,'Référentiel'!$A$2:$A$83,0)),0)),"")))</f>
      </c>
      <c r="H206" s="21">
        <f>IF(ISNUMBER($G206),$G206-TODAY(),"")</f>
      </c>
      <c r="I206" s="20">
        <f>IF(AND($A206="",$C206=""),"",IF($T206="Non","Hors service",IF(AND($Q206="Location",ISNUMBER($R206),$R206&lt;TODAY()),"Location terminée",IF(OR($F206="Mise à l'arrêt",IF($A206="",0,SUMPRODUCT((Réserves!$B$2:$B$301=$A206)*(Réserves!$E$2:$E$301="Mise à l'arrêt")*(Réserves!$J$2:$J$301&lt;&gt;"Levée")*(Réserves!$J$2:$J$301&lt;&gt;"")))&gt;0),"Arrêt : réserve à lever",IF($C206="","Type à choisir",IF($N206="","Périodicité à saisir",IF(OR(ISTEXT($U206),ISTEXT($R206)),"Date à corriger",IF(AND($E206="",$Q206="Location",$S206&lt;&gt;"Oui"),"Rapport loueur à obtenir",IF(NOT(ISNUMBER($G206)),"Vérif. initiale à tracer",IF($H206&lt;0,"En retard",IF(AND($Q206="Location",$S206&lt;&gt;"Oui"),"Rapport loueur à obtenir",IF($H206&lt;='Tableau de bord'!$C$4,"À planifier","À jour"))))))))))))</f>
      </c>
      <c r="J206" s="22">
        <f>IF($A206="","",COUNTIFS(Réserves!$B$2:$B$301,$A206,Réserves!$J$2:$J$301,"Ouverte")+COUNTIFS(Réserves!$B$2:$B$301,$A206,Réserves!$J$2:$J$301,"En retard"))</f>
      </c>
      <c r="K206" s="20">
        <f>IF($C206="","",IFERROR(INDEX('Référentiel'!$B$2:$B$83,MATCH($C206,'Référentiel'!$A$2:$A$83,0)),"Type hors liste"))</f>
      </c>
      <c r="L206" s="22">
        <f>IF($C206="","",IF(IFERROR(INDEX('Référentiel'!$C$2:$C$83,MATCH($C206,'Référentiel'!$A$2:$A$83,0)),0)=0,"",IFERROR(INDEX('Référentiel'!$C$2:$C$83,MATCH($C206,'Référentiel'!$A$2:$A$83,0)),0)))</f>
      </c>
      <c r="M206" s="23"/>
      <c r="N206" s="22">
        <f>IF($C206="","",IF(IF($M206&lt;&gt;"",IF($L206&lt;&gt;"",MIN($L206,$M206),$M206),IF($L206&lt;&gt;"",$L206,IF(IFERROR(INDEX('Référentiel'!$D$2:$D$83,MATCH($C206,'Référentiel'!$A$2:$A$83,0)),0)&gt;0,IFERROR(INDEX('Référentiel'!$D$2:$D$83,MATCH($C206,'Référentiel'!$A$2:$A$83,0)),0),"")))="","",IF(AND(IFERROR(INDEX('Référentiel'!$F$2:$F$83,MATCH($C206,'Référentiel'!$A$2:$A$83,0)),0)&gt;0,N($J206)&gt;0),MIN(IF($M206&lt;&gt;"",IF($L206&lt;&gt;"",MIN($L206,$M206),$M206),IF($L206&lt;&gt;"",$L206,IF(IFERROR(INDEX('Référentiel'!$D$2:$D$83,MATCH($C206,'Référentiel'!$A$2:$A$83,0)),0)&gt;0,IFERROR(INDEX('Référentiel'!$D$2:$D$83,MATCH($C206,'Référentiel'!$A$2:$A$83,0)),0),""))),IFERROR(INDEX('Référentiel'!$F$2:$F$83,MATCH($C206,'Référentiel'!$A$2:$A$83,0)),0)),IF($M206&lt;&gt;"",IF($L206&lt;&gt;"",MIN($L206,$M206),$M206),IF($L206&lt;&gt;"",$L206,IF(IFERROR(INDEX('Référentiel'!$D$2:$D$83,MATCH($C206,'Référentiel'!$A$2:$A$83,0)),0)&gt;0,IFERROR(INDEX('Référentiel'!$D$2:$D$83,MATCH($C206,'Référentiel'!$A$2:$A$83,0)),0),""))))))</f>
      </c>
      <c r="O206" s="9"/>
      <c r="P206" s="23"/>
      <c r="Q206" s="9"/>
      <c r="R206" s="24"/>
      <c r="S206" s="23"/>
      <c r="T206" s="23"/>
      <c r="U206" s="24"/>
      <c r="V206" s="20">
        <f>IF($C206="","",IFERROR(INDEX('Référentiel'!$K$2:$K$83,MATCH($C206,'Référentiel'!$A$2:$A$83,0)),""))</f>
      </c>
      <c r="W206" s="20">
        <f>IF(AND(ISNUMBER($G206),$I206&lt;&gt;"Hors service",$I206&lt;&gt;"Location terminée"),$G206+ROW()/100000,"")</f>
      </c>
      <c r="X206" s="9"/>
    </row>
    <row r="207" spans="1:24" x14ac:dyDescent="0.25">
      <c r="A207" s="9"/>
      <c r="B207" s="9"/>
      <c r="C207" s="9"/>
      <c r="D207" s="9"/>
      <c r="E207" s="19">
        <f>IF($A207="","",IF(SUMPRODUCT(MAX((Vérifications!$B$2:$B$1001=$A207)*Vérifications!$L$2:$L$1001))=0,"",SUMPRODUCT(MAX((Vérifications!$B$2:$B$1001=$A207)*Vérifications!$L$2:$L$1001))))</f>
      </c>
      <c r="F207" s="20">
        <f>IF($E207="","",IFERROR(INDEX(Vérifications!$E$2:$E$1001,MATCH($A207&amp;"|"&amp;$E207,Vérifications!$M$2:$M$1001,0)),""))</f>
      </c>
      <c r="G207" s="19">
        <f>IF($N207="","",IF(ISNUMBER($E207),EDATE($E207,$N207),IF(AND(ISNUMBER($U207),IFERROR(INDEX('Référentiel'!$E$2:$E$83,MATCH($C207,'Référentiel'!$A$2:$A$83,0)),0)&gt;0),EDATE($U207,IFERROR(INDEX('Référentiel'!$E$2:$E$83,MATCH($C207,'Référentiel'!$A$2:$A$83,0)),0)),"")))</f>
      </c>
      <c r="H207" s="21">
        <f>IF(ISNUMBER($G207),$G207-TODAY(),"")</f>
      </c>
      <c r="I207" s="20">
        <f>IF(AND($A207="",$C207=""),"",IF($T207="Non","Hors service",IF(AND($Q207="Location",ISNUMBER($R207),$R207&lt;TODAY()),"Location terminée",IF(OR($F207="Mise à l'arrêt",IF($A207="",0,SUMPRODUCT((Réserves!$B$2:$B$301=$A207)*(Réserves!$E$2:$E$301="Mise à l'arrêt")*(Réserves!$J$2:$J$301&lt;&gt;"Levée")*(Réserves!$J$2:$J$301&lt;&gt;"")))&gt;0),"Arrêt : réserve à lever",IF($C207="","Type à choisir",IF($N207="","Périodicité à saisir",IF(OR(ISTEXT($U207),ISTEXT($R207)),"Date à corriger",IF(AND($E207="",$Q207="Location",$S207&lt;&gt;"Oui"),"Rapport loueur à obtenir",IF(NOT(ISNUMBER($G207)),"Vérif. initiale à tracer",IF($H207&lt;0,"En retard",IF(AND($Q207="Location",$S207&lt;&gt;"Oui"),"Rapport loueur à obtenir",IF($H207&lt;='Tableau de bord'!$C$4,"À planifier","À jour"))))))))))))</f>
      </c>
      <c r="J207" s="22">
        <f>IF($A207="","",COUNTIFS(Réserves!$B$2:$B$301,$A207,Réserves!$J$2:$J$301,"Ouverte")+COUNTIFS(Réserves!$B$2:$B$301,$A207,Réserves!$J$2:$J$301,"En retard"))</f>
      </c>
      <c r="K207" s="20">
        <f>IF($C207="","",IFERROR(INDEX('Référentiel'!$B$2:$B$83,MATCH($C207,'Référentiel'!$A$2:$A$83,0)),"Type hors liste"))</f>
      </c>
      <c r="L207" s="22">
        <f>IF($C207="","",IF(IFERROR(INDEX('Référentiel'!$C$2:$C$83,MATCH($C207,'Référentiel'!$A$2:$A$83,0)),0)=0,"",IFERROR(INDEX('Référentiel'!$C$2:$C$83,MATCH($C207,'Référentiel'!$A$2:$A$83,0)),0)))</f>
      </c>
      <c r="M207" s="23"/>
      <c r="N207" s="22">
        <f>IF($C207="","",IF(IF($M207&lt;&gt;"",IF($L207&lt;&gt;"",MIN($L207,$M207),$M207),IF($L207&lt;&gt;"",$L207,IF(IFERROR(INDEX('Référentiel'!$D$2:$D$83,MATCH($C207,'Référentiel'!$A$2:$A$83,0)),0)&gt;0,IFERROR(INDEX('Référentiel'!$D$2:$D$83,MATCH($C207,'Référentiel'!$A$2:$A$83,0)),0),"")))="","",IF(AND(IFERROR(INDEX('Référentiel'!$F$2:$F$83,MATCH($C207,'Référentiel'!$A$2:$A$83,0)),0)&gt;0,N($J207)&gt;0),MIN(IF($M207&lt;&gt;"",IF($L207&lt;&gt;"",MIN($L207,$M207),$M207),IF($L207&lt;&gt;"",$L207,IF(IFERROR(INDEX('Référentiel'!$D$2:$D$83,MATCH($C207,'Référentiel'!$A$2:$A$83,0)),0)&gt;0,IFERROR(INDEX('Référentiel'!$D$2:$D$83,MATCH($C207,'Référentiel'!$A$2:$A$83,0)),0),""))),IFERROR(INDEX('Référentiel'!$F$2:$F$83,MATCH($C207,'Référentiel'!$A$2:$A$83,0)),0)),IF($M207&lt;&gt;"",IF($L207&lt;&gt;"",MIN($L207,$M207),$M207),IF($L207&lt;&gt;"",$L207,IF(IFERROR(INDEX('Référentiel'!$D$2:$D$83,MATCH($C207,'Référentiel'!$A$2:$A$83,0)),0)&gt;0,IFERROR(INDEX('Référentiel'!$D$2:$D$83,MATCH($C207,'Référentiel'!$A$2:$A$83,0)),0),""))))))</f>
      </c>
      <c r="O207" s="9"/>
      <c r="P207" s="23"/>
      <c r="Q207" s="9"/>
      <c r="R207" s="24"/>
      <c r="S207" s="23"/>
      <c r="T207" s="23"/>
      <c r="U207" s="24"/>
      <c r="V207" s="20">
        <f>IF($C207="","",IFERROR(INDEX('Référentiel'!$K$2:$K$83,MATCH($C207,'Référentiel'!$A$2:$A$83,0)),""))</f>
      </c>
      <c r="W207" s="20">
        <f>IF(AND(ISNUMBER($G207),$I207&lt;&gt;"Hors service",$I207&lt;&gt;"Location terminée"),$G207+ROW()/100000,"")</f>
      </c>
      <c r="X207" s="9"/>
    </row>
    <row r="208" spans="1:24" x14ac:dyDescent="0.25">
      <c r="A208" s="9"/>
      <c r="B208" s="9"/>
      <c r="C208" s="9"/>
      <c r="D208" s="9"/>
      <c r="E208" s="19">
        <f>IF($A208="","",IF(SUMPRODUCT(MAX((Vérifications!$B$2:$B$1001=$A208)*Vérifications!$L$2:$L$1001))=0,"",SUMPRODUCT(MAX((Vérifications!$B$2:$B$1001=$A208)*Vérifications!$L$2:$L$1001))))</f>
      </c>
      <c r="F208" s="20">
        <f>IF($E208="","",IFERROR(INDEX(Vérifications!$E$2:$E$1001,MATCH($A208&amp;"|"&amp;$E208,Vérifications!$M$2:$M$1001,0)),""))</f>
      </c>
      <c r="G208" s="19">
        <f>IF($N208="","",IF(ISNUMBER($E208),EDATE($E208,$N208),IF(AND(ISNUMBER($U208),IFERROR(INDEX('Référentiel'!$E$2:$E$83,MATCH($C208,'Référentiel'!$A$2:$A$83,0)),0)&gt;0),EDATE($U208,IFERROR(INDEX('Référentiel'!$E$2:$E$83,MATCH($C208,'Référentiel'!$A$2:$A$83,0)),0)),"")))</f>
      </c>
      <c r="H208" s="21">
        <f>IF(ISNUMBER($G208),$G208-TODAY(),"")</f>
      </c>
      <c r="I208" s="20">
        <f>IF(AND($A208="",$C208=""),"",IF($T208="Non","Hors service",IF(AND($Q208="Location",ISNUMBER($R208),$R208&lt;TODAY()),"Location terminée",IF(OR($F208="Mise à l'arrêt",IF($A208="",0,SUMPRODUCT((Réserves!$B$2:$B$301=$A208)*(Réserves!$E$2:$E$301="Mise à l'arrêt")*(Réserves!$J$2:$J$301&lt;&gt;"Levée")*(Réserves!$J$2:$J$301&lt;&gt;"")))&gt;0),"Arrêt : réserve à lever",IF($C208="","Type à choisir",IF($N208="","Périodicité à saisir",IF(OR(ISTEXT($U208),ISTEXT($R208)),"Date à corriger",IF(AND($E208="",$Q208="Location",$S208&lt;&gt;"Oui"),"Rapport loueur à obtenir",IF(NOT(ISNUMBER($G208)),"Vérif. initiale à tracer",IF($H208&lt;0,"En retard",IF(AND($Q208="Location",$S208&lt;&gt;"Oui"),"Rapport loueur à obtenir",IF($H208&lt;='Tableau de bord'!$C$4,"À planifier","À jour"))))))))))))</f>
      </c>
      <c r="J208" s="22">
        <f>IF($A208="","",COUNTIFS(Réserves!$B$2:$B$301,$A208,Réserves!$J$2:$J$301,"Ouverte")+COUNTIFS(Réserves!$B$2:$B$301,$A208,Réserves!$J$2:$J$301,"En retard"))</f>
      </c>
      <c r="K208" s="20">
        <f>IF($C208="","",IFERROR(INDEX('Référentiel'!$B$2:$B$83,MATCH($C208,'Référentiel'!$A$2:$A$83,0)),"Type hors liste"))</f>
      </c>
      <c r="L208" s="22">
        <f>IF($C208="","",IF(IFERROR(INDEX('Référentiel'!$C$2:$C$83,MATCH($C208,'Référentiel'!$A$2:$A$83,0)),0)=0,"",IFERROR(INDEX('Référentiel'!$C$2:$C$83,MATCH($C208,'Référentiel'!$A$2:$A$83,0)),0)))</f>
      </c>
      <c r="M208" s="23"/>
      <c r="N208" s="22">
        <f>IF($C208="","",IF(IF($M208&lt;&gt;"",IF($L208&lt;&gt;"",MIN($L208,$M208),$M208),IF($L208&lt;&gt;"",$L208,IF(IFERROR(INDEX('Référentiel'!$D$2:$D$83,MATCH($C208,'Référentiel'!$A$2:$A$83,0)),0)&gt;0,IFERROR(INDEX('Référentiel'!$D$2:$D$83,MATCH($C208,'Référentiel'!$A$2:$A$83,0)),0),"")))="","",IF(AND(IFERROR(INDEX('Référentiel'!$F$2:$F$83,MATCH($C208,'Référentiel'!$A$2:$A$83,0)),0)&gt;0,N($J208)&gt;0),MIN(IF($M208&lt;&gt;"",IF($L208&lt;&gt;"",MIN($L208,$M208),$M208),IF($L208&lt;&gt;"",$L208,IF(IFERROR(INDEX('Référentiel'!$D$2:$D$83,MATCH($C208,'Référentiel'!$A$2:$A$83,0)),0)&gt;0,IFERROR(INDEX('Référentiel'!$D$2:$D$83,MATCH($C208,'Référentiel'!$A$2:$A$83,0)),0),""))),IFERROR(INDEX('Référentiel'!$F$2:$F$83,MATCH($C208,'Référentiel'!$A$2:$A$83,0)),0)),IF($M208&lt;&gt;"",IF($L208&lt;&gt;"",MIN($L208,$M208),$M208),IF($L208&lt;&gt;"",$L208,IF(IFERROR(INDEX('Référentiel'!$D$2:$D$83,MATCH($C208,'Référentiel'!$A$2:$A$83,0)),0)&gt;0,IFERROR(INDEX('Référentiel'!$D$2:$D$83,MATCH($C208,'Référentiel'!$A$2:$A$83,0)),0),""))))))</f>
      </c>
      <c r="O208" s="9"/>
      <c r="P208" s="23"/>
      <c r="Q208" s="9"/>
      <c r="R208" s="24"/>
      <c r="S208" s="23"/>
      <c r="T208" s="23"/>
      <c r="U208" s="24"/>
      <c r="V208" s="20">
        <f>IF($C208="","",IFERROR(INDEX('Référentiel'!$K$2:$K$83,MATCH($C208,'Référentiel'!$A$2:$A$83,0)),""))</f>
      </c>
      <c r="W208" s="20">
        <f>IF(AND(ISNUMBER($G208),$I208&lt;&gt;"Hors service",$I208&lt;&gt;"Location terminée"),$G208+ROW()/100000,"")</f>
      </c>
      <c r="X208" s="9"/>
    </row>
    <row r="209" spans="1:24" x14ac:dyDescent="0.25">
      <c r="A209" s="9"/>
      <c r="B209" s="9"/>
      <c r="C209" s="9"/>
      <c r="D209" s="9"/>
      <c r="E209" s="19">
        <f>IF($A209="","",IF(SUMPRODUCT(MAX((Vérifications!$B$2:$B$1001=$A209)*Vérifications!$L$2:$L$1001))=0,"",SUMPRODUCT(MAX((Vérifications!$B$2:$B$1001=$A209)*Vérifications!$L$2:$L$1001))))</f>
      </c>
      <c r="F209" s="20">
        <f>IF($E209="","",IFERROR(INDEX(Vérifications!$E$2:$E$1001,MATCH($A209&amp;"|"&amp;$E209,Vérifications!$M$2:$M$1001,0)),""))</f>
      </c>
      <c r="G209" s="19">
        <f>IF($N209="","",IF(ISNUMBER($E209),EDATE($E209,$N209),IF(AND(ISNUMBER($U209),IFERROR(INDEX('Référentiel'!$E$2:$E$83,MATCH($C209,'Référentiel'!$A$2:$A$83,0)),0)&gt;0),EDATE($U209,IFERROR(INDEX('Référentiel'!$E$2:$E$83,MATCH($C209,'Référentiel'!$A$2:$A$83,0)),0)),"")))</f>
      </c>
      <c r="H209" s="21">
        <f>IF(ISNUMBER($G209),$G209-TODAY(),"")</f>
      </c>
      <c r="I209" s="20">
        <f>IF(AND($A209="",$C209=""),"",IF($T209="Non","Hors service",IF(AND($Q209="Location",ISNUMBER($R209),$R209&lt;TODAY()),"Location terminée",IF(OR($F209="Mise à l'arrêt",IF($A209="",0,SUMPRODUCT((Réserves!$B$2:$B$301=$A209)*(Réserves!$E$2:$E$301="Mise à l'arrêt")*(Réserves!$J$2:$J$301&lt;&gt;"Levée")*(Réserves!$J$2:$J$301&lt;&gt;"")))&gt;0),"Arrêt : réserve à lever",IF($C209="","Type à choisir",IF($N209="","Périodicité à saisir",IF(OR(ISTEXT($U209),ISTEXT($R209)),"Date à corriger",IF(AND($E209="",$Q209="Location",$S209&lt;&gt;"Oui"),"Rapport loueur à obtenir",IF(NOT(ISNUMBER($G209)),"Vérif. initiale à tracer",IF($H209&lt;0,"En retard",IF(AND($Q209="Location",$S209&lt;&gt;"Oui"),"Rapport loueur à obtenir",IF($H209&lt;='Tableau de bord'!$C$4,"À planifier","À jour"))))))))))))</f>
      </c>
      <c r="J209" s="22">
        <f>IF($A209="","",COUNTIFS(Réserves!$B$2:$B$301,$A209,Réserves!$J$2:$J$301,"Ouverte")+COUNTIFS(Réserves!$B$2:$B$301,$A209,Réserves!$J$2:$J$301,"En retard"))</f>
      </c>
      <c r="K209" s="20">
        <f>IF($C209="","",IFERROR(INDEX('Référentiel'!$B$2:$B$83,MATCH($C209,'Référentiel'!$A$2:$A$83,0)),"Type hors liste"))</f>
      </c>
      <c r="L209" s="22">
        <f>IF($C209="","",IF(IFERROR(INDEX('Référentiel'!$C$2:$C$83,MATCH($C209,'Référentiel'!$A$2:$A$83,0)),0)=0,"",IFERROR(INDEX('Référentiel'!$C$2:$C$83,MATCH($C209,'Référentiel'!$A$2:$A$83,0)),0)))</f>
      </c>
      <c r="M209" s="23"/>
      <c r="N209" s="22">
        <f>IF($C209="","",IF(IF($M209&lt;&gt;"",IF($L209&lt;&gt;"",MIN($L209,$M209),$M209),IF($L209&lt;&gt;"",$L209,IF(IFERROR(INDEX('Référentiel'!$D$2:$D$83,MATCH($C209,'Référentiel'!$A$2:$A$83,0)),0)&gt;0,IFERROR(INDEX('Référentiel'!$D$2:$D$83,MATCH($C209,'Référentiel'!$A$2:$A$83,0)),0),"")))="","",IF(AND(IFERROR(INDEX('Référentiel'!$F$2:$F$83,MATCH($C209,'Référentiel'!$A$2:$A$83,0)),0)&gt;0,N($J209)&gt;0),MIN(IF($M209&lt;&gt;"",IF($L209&lt;&gt;"",MIN($L209,$M209),$M209),IF($L209&lt;&gt;"",$L209,IF(IFERROR(INDEX('Référentiel'!$D$2:$D$83,MATCH($C209,'Référentiel'!$A$2:$A$83,0)),0)&gt;0,IFERROR(INDEX('Référentiel'!$D$2:$D$83,MATCH($C209,'Référentiel'!$A$2:$A$83,0)),0),""))),IFERROR(INDEX('Référentiel'!$F$2:$F$83,MATCH($C209,'Référentiel'!$A$2:$A$83,0)),0)),IF($M209&lt;&gt;"",IF($L209&lt;&gt;"",MIN($L209,$M209),$M209),IF($L209&lt;&gt;"",$L209,IF(IFERROR(INDEX('Référentiel'!$D$2:$D$83,MATCH($C209,'Référentiel'!$A$2:$A$83,0)),0)&gt;0,IFERROR(INDEX('Référentiel'!$D$2:$D$83,MATCH($C209,'Référentiel'!$A$2:$A$83,0)),0),""))))))</f>
      </c>
      <c r="O209" s="9"/>
      <c r="P209" s="23"/>
      <c r="Q209" s="9"/>
      <c r="R209" s="24"/>
      <c r="S209" s="23"/>
      <c r="T209" s="23"/>
      <c r="U209" s="24"/>
      <c r="V209" s="20">
        <f>IF($C209="","",IFERROR(INDEX('Référentiel'!$K$2:$K$83,MATCH($C209,'Référentiel'!$A$2:$A$83,0)),""))</f>
      </c>
      <c r="W209" s="20">
        <f>IF(AND(ISNUMBER($G209),$I209&lt;&gt;"Hors service",$I209&lt;&gt;"Location terminée"),$G209+ROW()/100000,"")</f>
      </c>
      <c r="X209" s="9"/>
    </row>
    <row r="210" spans="1:24" x14ac:dyDescent="0.25">
      <c r="A210" s="9"/>
      <c r="B210" s="9"/>
      <c r="C210" s="9"/>
      <c r="D210" s="9"/>
      <c r="E210" s="19">
        <f>IF($A210="","",IF(SUMPRODUCT(MAX((Vérifications!$B$2:$B$1001=$A210)*Vérifications!$L$2:$L$1001))=0,"",SUMPRODUCT(MAX((Vérifications!$B$2:$B$1001=$A210)*Vérifications!$L$2:$L$1001))))</f>
      </c>
      <c r="F210" s="20">
        <f>IF($E210="","",IFERROR(INDEX(Vérifications!$E$2:$E$1001,MATCH($A210&amp;"|"&amp;$E210,Vérifications!$M$2:$M$1001,0)),""))</f>
      </c>
      <c r="G210" s="19">
        <f>IF($N210="","",IF(ISNUMBER($E210),EDATE($E210,$N210),IF(AND(ISNUMBER($U210),IFERROR(INDEX('Référentiel'!$E$2:$E$83,MATCH($C210,'Référentiel'!$A$2:$A$83,0)),0)&gt;0),EDATE($U210,IFERROR(INDEX('Référentiel'!$E$2:$E$83,MATCH($C210,'Référentiel'!$A$2:$A$83,0)),0)),"")))</f>
      </c>
      <c r="H210" s="21">
        <f>IF(ISNUMBER($G210),$G210-TODAY(),"")</f>
      </c>
      <c r="I210" s="20">
        <f>IF(AND($A210="",$C210=""),"",IF($T210="Non","Hors service",IF(AND($Q210="Location",ISNUMBER($R210),$R210&lt;TODAY()),"Location terminée",IF(OR($F210="Mise à l'arrêt",IF($A210="",0,SUMPRODUCT((Réserves!$B$2:$B$301=$A210)*(Réserves!$E$2:$E$301="Mise à l'arrêt")*(Réserves!$J$2:$J$301&lt;&gt;"Levée")*(Réserves!$J$2:$J$301&lt;&gt;"")))&gt;0),"Arrêt : réserve à lever",IF($C210="","Type à choisir",IF($N210="","Périodicité à saisir",IF(OR(ISTEXT($U210),ISTEXT($R210)),"Date à corriger",IF(AND($E210="",$Q210="Location",$S210&lt;&gt;"Oui"),"Rapport loueur à obtenir",IF(NOT(ISNUMBER($G210)),"Vérif. initiale à tracer",IF($H210&lt;0,"En retard",IF(AND($Q210="Location",$S210&lt;&gt;"Oui"),"Rapport loueur à obtenir",IF($H210&lt;='Tableau de bord'!$C$4,"À planifier","À jour"))))))))))))</f>
      </c>
      <c r="J210" s="22">
        <f>IF($A210="","",COUNTIFS(Réserves!$B$2:$B$301,$A210,Réserves!$J$2:$J$301,"Ouverte")+COUNTIFS(Réserves!$B$2:$B$301,$A210,Réserves!$J$2:$J$301,"En retard"))</f>
      </c>
      <c r="K210" s="20">
        <f>IF($C210="","",IFERROR(INDEX('Référentiel'!$B$2:$B$83,MATCH($C210,'Référentiel'!$A$2:$A$83,0)),"Type hors liste"))</f>
      </c>
      <c r="L210" s="22">
        <f>IF($C210="","",IF(IFERROR(INDEX('Référentiel'!$C$2:$C$83,MATCH($C210,'Référentiel'!$A$2:$A$83,0)),0)=0,"",IFERROR(INDEX('Référentiel'!$C$2:$C$83,MATCH($C210,'Référentiel'!$A$2:$A$83,0)),0)))</f>
      </c>
      <c r="M210" s="23"/>
      <c r="N210" s="22">
        <f>IF($C210="","",IF(IF($M210&lt;&gt;"",IF($L210&lt;&gt;"",MIN($L210,$M210),$M210),IF($L210&lt;&gt;"",$L210,IF(IFERROR(INDEX('Référentiel'!$D$2:$D$83,MATCH($C210,'Référentiel'!$A$2:$A$83,0)),0)&gt;0,IFERROR(INDEX('Référentiel'!$D$2:$D$83,MATCH($C210,'Référentiel'!$A$2:$A$83,0)),0),"")))="","",IF(AND(IFERROR(INDEX('Référentiel'!$F$2:$F$83,MATCH($C210,'Référentiel'!$A$2:$A$83,0)),0)&gt;0,N($J210)&gt;0),MIN(IF($M210&lt;&gt;"",IF($L210&lt;&gt;"",MIN($L210,$M210),$M210),IF($L210&lt;&gt;"",$L210,IF(IFERROR(INDEX('Référentiel'!$D$2:$D$83,MATCH($C210,'Référentiel'!$A$2:$A$83,0)),0)&gt;0,IFERROR(INDEX('Référentiel'!$D$2:$D$83,MATCH($C210,'Référentiel'!$A$2:$A$83,0)),0),""))),IFERROR(INDEX('Référentiel'!$F$2:$F$83,MATCH($C210,'Référentiel'!$A$2:$A$83,0)),0)),IF($M210&lt;&gt;"",IF($L210&lt;&gt;"",MIN($L210,$M210),$M210),IF($L210&lt;&gt;"",$L210,IF(IFERROR(INDEX('Référentiel'!$D$2:$D$83,MATCH($C210,'Référentiel'!$A$2:$A$83,0)),0)&gt;0,IFERROR(INDEX('Référentiel'!$D$2:$D$83,MATCH($C210,'Référentiel'!$A$2:$A$83,0)),0),""))))))</f>
      </c>
      <c r="O210" s="9"/>
      <c r="P210" s="23"/>
      <c r="Q210" s="9"/>
      <c r="R210" s="24"/>
      <c r="S210" s="23"/>
      <c r="T210" s="23"/>
      <c r="U210" s="24"/>
      <c r="V210" s="20">
        <f>IF($C210="","",IFERROR(INDEX('Référentiel'!$K$2:$K$83,MATCH($C210,'Référentiel'!$A$2:$A$83,0)),""))</f>
      </c>
      <c r="W210" s="20">
        <f>IF(AND(ISNUMBER($G210),$I210&lt;&gt;"Hors service",$I210&lt;&gt;"Location terminée"),$G210+ROW()/100000,"")</f>
      </c>
      <c r="X210" s="9"/>
    </row>
    <row r="211" spans="1:24" x14ac:dyDescent="0.25">
      <c r="A211" s="9"/>
      <c r="B211" s="9"/>
      <c r="C211" s="9"/>
      <c r="D211" s="9"/>
      <c r="E211" s="19">
        <f>IF($A211="","",IF(SUMPRODUCT(MAX((Vérifications!$B$2:$B$1001=$A211)*Vérifications!$L$2:$L$1001))=0,"",SUMPRODUCT(MAX((Vérifications!$B$2:$B$1001=$A211)*Vérifications!$L$2:$L$1001))))</f>
      </c>
      <c r="F211" s="20">
        <f>IF($E211="","",IFERROR(INDEX(Vérifications!$E$2:$E$1001,MATCH($A211&amp;"|"&amp;$E211,Vérifications!$M$2:$M$1001,0)),""))</f>
      </c>
      <c r="G211" s="19">
        <f>IF($N211="","",IF(ISNUMBER($E211),EDATE($E211,$N211),IF(AND(ISNUMBER($U211),IFERROR(INDEX('Référentiel'!$E$2:$E$83,MATCH($C211,'Référentiel'!$A$2:$A$83,0)),0)&gt;0),EDATE($U211,IFERROR(INDEX('Référentiel'!$E$2:$E$83,MATCH($C211,'Référentiel'!$A$2:$A$83,0)),0)),"")))</f>
      </c>
      <c r="H211" s="21">
        <f>IF(ISNUMBER($G211),$G211-TODAY(),"")</f>
      </c>
      <c r="I211" s="20">
        <f>IF(AND($A211="",$C211=""),"",IF($T211="Non","Hors service",IF(AND($Q211="Location",ISNUMBER($R211),$R211&lt;TODAY()),"Location terminée",IF(OR($F211="Mise à l'arrêt",IF($A211="",0,SUMPRODUCT((Réserves!$B$2:$B$301=$A211)*(Réserves!$E$2:$E$301="Mise à l'arrêt")*(Réserves!$J$2:$J$301&lt;&gt;"Levée")*(Réserves!$J$2:$J$301&lt;&gt;"")))&gt;0),"Arrêt : réserve à lever",IF($C211="","Type à choisir",IF($N211="","Périodicité à saisir",IF(OR(ISTEXT($U211),ISTEXT($R211)),"Date à corriger",IF(AND($E211="",$Q211="Location",$S211&lt;&gt;"Oui"),"Rapport loueur à obtenir",IF(NOT(ISNUMBER($G211)),"Vérif. initiale à tracer",IF($H211&lt;0,"En retard",IF(AND($Q211="Location",$S211&lt;&gt;"Oui"),"Rapport loueur à obtenir",IF($H211&lt;='Tableau de bord'!$C$4,"À planifier","À jour"))))))))))))</f>
      </c>
      <c r="J211" s="22">
        <f>IF($A211="","",COUNTIFS(Réserves!$B$2:$B$301,$A211,Réserves!$J$2:$J$301,"Ouverte")+COUNTIFS(Réserves!$B$2:$B$301,$A211,Réserves!$J$2:$J$301,"En retard"))</f>
      </c>
      <c r="K211" s="20">
        <f>IF($C211="","",IFERROR(INDEX('Référentiel'!$B$2:$B$83,MATCH($C211,'Référentiel'!$A$2:$A$83,0)),"Type hors liste"))</f>
      </c>
      <c r="L211" s="22">
        <f>IF($C211="","",IF(IFERROR(INDEX('Référentiel'!$C$2:$C$83,MATCH($C211,'Référentiel'!$A$2:$A$83,0)),0)=0,"",IFERROR(INDEX('Référentiel'!$C$2:$C$83,MATCH($C211,'Référentiel'!$A$2:$A$83,0)),0)))</f>
      </c>
      <c r="M211" s="23"/>
      <c r="N211" s="22">
        <f>IF($C211="","",IF(IF($M211&lt;&gt;"",IF($L211&lt;&gt;"",MIN($L211,$M211),$M211),IF($L211&lt;&gt;"",$L211,IF(IFERROR(INDEX('Référentiel'!$D$2:$D$83,MATCH($C211,'Référentiel'!$A$2:$A$83,0)),0)&gt;0,IFERROR(INDEX('Référentiel'!$D$2:$D$83,MATCH($C211,'Référentiel'!$A$2:$A$83,0)),0),"")))="","",IF(AND(IFERROR(INDEX('Référentiel'!$F$2:$F$83,MATCH($C211,'Référentiel'!$A$2:$A$83,0)),0)&gt;0,N($J211)&gt;0),MIN(IF($M211&lt;&gt;"",IF($L211&lt;&gt;"",MIN($L211,$M211),$M211),IF($L211&lt;&gt;"",$L211,IF(IFERROR(INDEX('Référentiel'!$D$2:$D$83,MATCH($C211,'Référentiel'!$A$2:$A$83,0)),0)&gt;0,IFERROR(INDEX('Référentiel'!$D$2:$D$83,MATCH($C211,'Référentiel'!$A$2:$A$83,0)),0),""))),IFERROR(INDEX('Référentiel'!$F$2:$F$83,MATCH($C211,'Référentiel'!$A$2:$A$83,0)),0)),IF($M211&lt;&gt;"",IF($L211&lt;&gt;"",MIN($L211,$M211),$M211),IF($L211&lt;&gt;"",$L211,IF(IFERROR(INDEX('Référentiel'!$D$2:$D$83,MATCH($C211,'Référentiel'!$A$2:$A$83,0)),0)&gt;0,IFERROR(INDEX('Référentiel'!$D$2:$D$83,MATCH($C211,'Référentiel'!$A$2:$A$83,0)),0),""))))))</f>
      </c>
      <c r="O211" s="9"/>
      <c r="P211" s="23"/>
      <c r="Q211" s="9"/>
      <c r="R211" s="24"/>
      <c r="S211" s="23"/>
      <c r="T211" s="23"/>
      <c r="U211" s="24"/>
      <c r="V211" s="20">
        <f>IF($C211="","",IFERROR(INDEX('Référentiel'!$K$2:$K$83,MATCH($C211,'Référentiel'!$A$2:$A$83,0)),""))</f>
      </c>
      <c r="W211" s="20">
        <f>IF(AND(ISNUMBER($G211),$I211&lt;&gt;"Hors service",$I211&lt;&gt;"Location terminée"),$G211+ROW()/100000,"")</f>
      </c>
      <c r="X211" s="9"/>
    </row>
    <row r="212" spans="1:24" x14ac:dyDescent="0.25">
      <c r="A212" s="9"/>
      <c r="B212" s="9"/>
      <c r="C212" s="9"/>
      <c r="D212" s="9"/>
      <c r="E212" s="19">
        <f>IF($A212="","",IF(SUMPRODUCT(MAX((Vérifications!$B$2:$B$1001=$A212)*Vérifications!$L$2:$L$1001))=0,"",SUMPRODUCT(MAX((Vérifications!$B$2:$B$1001=$A212)*Vérifications!$L$2:$L$1001))))</f>
      </c>
      <c r="F212" s="20">
        <f>IF($E212="","",IFERROR(INDEX(Vérifications!$E$2:$E$1001,MATCH($A212&amp;"|"&amp;$E212,Vérifications!$M$2:$M$1001,0)),""))</f>
      </c>
      <c r="G212" s="19">
        <f>IF($N212="","",IF(ISNUMBER($E212),EDATE($E212,$N212),IF(AND(ISNUMBER($U212),IFERROR(INDEX('Référentiel'!$E$2:$E$83,MATCH($C212,'Référentiel'!$A$2:$A$83,0)),0)&gt;0),EDATE($U212,IFERROR(INDEX('Référentiel'!$E$2:$E$83,MATCH($C212,'Référentiel'!$A$2:$A$83,0)),0)),"")))</f>
      </c>
      <c r="H212" s="21">
        <f>IF(ISNUMBER($G212),$G212-TODAY(),"")</f>
      </c>
      <c r="I212" s="20">
        <f>IF(AND($A212="",$C212=""),"",IF($T212="Non","Hors service",IF(AND($Q212="Location",ISNUMBER($R212),$R212&lt;TODAY()),"Location terminée",IF(OR($F212="Mise à l'arrêt",IF($A212="",0,SUMPRODUCT((Réserves!$B$2:$B$301=$A212)*(Réserves!$E$2:$E$301="Mise à l'arrêt")*(Réserves!$J$2:$J$301&lt;&gt;"Levée")*(Réserves!$J$2:$J$301&lt;&gt;"")))&gt;0),"Arrêt : réserve à lever",IF($C212="","Type à choisir",IF($N212="","Périodicité à saisir",IF(OR(ISTEXT($U212),ISTEXT($R212)),"Date à corriger",IF(AND($E212="",$Q212="Location",$S212&lt;&gt;"Oui"),"Rapport loueur à obtenir",IF(NOT(ISNUMBER($G212)),"Vérif. initiale à tracer",IF($H212&lt;0,"En retard",IF(AND($Q212="Location",$S212&lt;&gt;"Oui"),"Rapport loueur à obtenir",IF($H212&lt;='Tableau de bord'!$C$4,"À planifier","À jour"))))))))))))</f>
      </c>
      <c r="J212" s="22">
        <f>IF($A212="","",COUNTIFS(Réserves!$B$2:$B$301,$A212,Réserves!$J$2:$J$301,"Ouverte")+COUNTIFS(Réserves!$B$2:$B$301,$A212,Réserves!$J$2:$J$301,"En retard"))</f>
      </c>
      <c r="K212" s="20">
        <f>IF($C212="","",IFERROR(INDEX('Référentiel'!$B$2:$B$83,MATCH($C212,'Référentiel'!$A$2:$A$83,0)),"Type hors liste"))</f>
      </c>
      <c r="L212" s="22">
        <f>IF($C212="","",IF(IFERROR(INDEX('Référentiel'!$C$2:$C$83,MATCH($C212,'Référentiel'!$A$2:$A$83,0)),0)=0,"",IFERROR(INDEX('Référentiel'!$C$2:$C$83,MATCH($C212,'Référentiel'!$A$2:$A$83,0)),0)))</f>
      </c>
      <c r="M212" s="23"/>
      <c r="N212" s="22">
        <f>IF($C212="","",IF(IF($M212&lt;&gt;"",IF($L212&lt;&gt;"",MIN($L212,$M212),$M212),IF($L212&lt;&gt;"",$L212,IF(IFERROR(INDEX('Référentiel'!$D$2:$D$83,MATCH($C212,'Référentiel'!$A$2:$A$83,0)),0)&gt;0,IFERROR(INDEX('Référentiel'!$D$2:$D$83,MATCH($C212,'Référentiel'!$A$2:$A$83,0)),0),"")))="","",IF(AND(IFERROR(INDEX('Référentiel'!$F$2:$F$83,MATCH($C212,'Référentiel'!$A$2:$A$83,0)),0)&gt;0,N($J212)&gt;0),MIN(IF($M212&lt;&gt;"",IF($L212&lt;&gt;"",MIN($L212,$M212),$M212),IF($L212&lt;&gt;"",$L212,IF(IFERROR(INDEX('Référentiel'!$D$2:$D$83,MATCH($C212,'Référentiel'!$A$2:$A$83,0)),0)&gt;0,IFERROR(INDEX('Référentiel'!$D$2:$D$83,MATCH($C212,'Référentiel'!$A$2:$A$83,0)),0),""))),IFERROR(INDEX('Référentiel'!$F$2:$F$83,MATCH($C212,'Référentiel'!$A$2:$A$83,0)),0)),IF($M212&lt;&gt;"",IF($L212&lt;&gt;"",MIN($L212,$M212),$M212),IF($L212&lt;&gt;"",$L212,IF(IFERROR(INDEX('Référentiel'!$D$2:$D$83,MATCH($C212,'Référentiel'!$A$2:$A$83,0)),0)&gt;0,IFERROR(INDEX('Référentiel'!$D$2:$D$83,MATCH($C212,'Référentiel'!$A$2:$A$83,0)),0),""))))))</f>
      </c>
      <c r="O212" s="9"/>
      <c r="P212" s="23"/>
      <c r="Q212" s="9"/>
      <c r="R212" s="24"/>
      <c r="S212" s="23"/>
      <c r="T212" s="23"/>
      <c r="U212" s="24"/>
      <c r="V212" s="20">
        <f>IF($C212="","",IFERROR(INDEX('Référentiel'!$K$2:$K$83,MATCH($C212,'Référentiel'!$A$2:$A$83,0)),""))</f>
      </c>
      <c r="W212" s="20">
        <f>IF(AND(ISNUMBER($G212),$I212&lt;&gt;"Hors service",$I212&lt;&gt;"Location terminée"),$G212+ROW()/100000,"")</f>
      </c>
      <c r="X212" s="9"/>
    </row>
    <row r="213" spans="1:24" x14ac:dyDescent="0.25">
      <c r="A213" s="9"/>
      <c r="B213" s="9"/>
      <c r="C213" s="9"/>
      <c r="D213" s="9"/>
      <c r="E213" s="19">
        <f>IF($A213="","",IF(SUMPRODUCT(MAX((Vérifications!$B$2:$B$1001=$A213)*Vérifications!$L$2:$L$1001))=0,"",SUMPRODUCT(MAX((Vérifications!$B$2:$B$1001=$A213)*Vérifications!$L$2:$L$1001))))</f>
      </c>
      <c r="F213" s="20">
        <f>IF($E213="","",IFERROR(INDEX(Vérifications!$E$2:$E$1001,MATCH($A213&amp;"|"&amp;$E213,Vérifications!$M$2:$M$1001,0)),""))</f>
      </c>
      <c r="G213" s="19">
        <f>IF($N213="","",IF(ISNUMBER($E213),EDATE($E213,$N213),IF(AND(ISNUMBER($U213),IFERROR(INDEX('Référentiel'!$E$2:$E$83,MATCH($C213,'Référentiel'!$A$2:$A$83,0)),0)&gt;0),EDATE($U213,IFERROR(INDEX('Référentiel'!$E$2:$E$83,MATCH($C213,'Référentiel'!$A$2:$A$83,0)),0)),"")))</f>
      </c>
      <c r="H213" s="21">
        <f>IF(ISNUMBER($G213),$G213-TODAY(),"")</f>
      </c>
      <c r="I213" s="20">
        <f>IF(AND($A213="",$C213=""),"",IF($T213="Non","Hors service",IF(AND($Q213="Location",ISNUMBER($R213),$R213&lt;TODAY()),"Location terminée",IF(OR($F213="Mise à l'arrêt",IF($A213="",0,SUMPRODUCT((Réserves!$B$2:$B$301=$A213)*(Réserves!$E$2:$E$301="Mise à l'arrêt")*(Réserves!$J$2:$J$301&lt;&gt;"Levée")*(Réserves!$J$2:$J$301&lt;&gt;"")))&gt;0),"Arrêt : réserve à lever",IF($C213="","Type à choisir",IF($N213="","Périodicité à saisir",IF(OR(ISTEXT($U213),ISTEXT($R213)),"Date à corriger",IF(AND($E213="",$Q213="Location",$S213&lt;&gt;"Oui"),"Rapport loueur à obtenir",IF(NOT(ISNUMBER($G213)),"Vérif. initiale à tracer",IF($H213&lt;0,"En retard",IF(AND($Q213="Location",$S213&lt;&gt;"Oui"),"Rapport loueur à obtenir",IF($H213&lt;='Tableau de bord'!$C$4,"À planifier","À jour"))))))))))))</f>
      </c>
      <c r="J213" s="22">
        <f>IF($A213="","",COUNTIFS(Réserves!$B$2:$B$301,$A213,Réserves!$J$2:$J$301,"Ouverte")+COUNTIFS(Réserves!$B$2:$B$301,$A213,Réserves!$J$2:$J$301,"En retard"))</f>
      </c>
      <c r="K213" s="20">
        <f>IF($C213="","",IFERROR(INDEX('Référentiel'!$B$2:$B$83,MATCH($C213,'Référentiel'!$A$2:$A$83,0)),"Type hors liste"))</f>
      </c>
      <c r="L213" s="22">
        <f>IF($C213="","",IF(IFERROR(INDEX('Référentiel'!$C$2:$C$83,MATCH($C213,'Référentiel'!$A$2:$A$83,0)),0)=0,"",IFERROR(INDEX('Référentiel'!$C$2:$C$83,MATCH($C213,'Référentiel'!$A$2:$A$83,0)),0)))</f>
      </c>
      <c r="M213" s="23"/>
      <c r="N213" s="22">
        <f>IF($C213="","",IF(IF($M213&lt;&gt;"",IF($L213&lt;&gt;"",MIN($L213,$M213),$M213),IF($L213&lt;&gt;"",$L213,IF(IFERROR(INDEX('Référentiel'!$D$2:$D$83,MATCH($C213,'Référentiel'!$A$2:$A$83,0)),0)&gt;0,IFERROR(INDEX('Référentiel'!$D$2:$D$83,MATCH($C213,'Référentiel'!$A$2:$A$83,0)),0),"")))="","",IF(AND(IFERROR(INDEX('Référentiel'!$F$2:$F$83,MATCH($C213,'Référentiel'!$A$2:$A$83,0)),0)&gt;0,N($J213)&gt;0),MIN(IF($M213&lt;&gt;"",IF($L213&lt;&gt;"",MIN($L213,$M213),$M213),IF($L213&lt;&gt;"",$L213,IF(IFERROR(INDEX('Référentiel'!$D$2:$D$83,MATCH($C213,'Référentiel'!$A$2:$A$83,0)),0)&gt;0,IFERROR(INDEX('Référentiel'!$D$2:$D$83,MATCH($C213,'Référentiel'!$A$2:$A$83,0)),0),""))),IFERROR(INDEX('Référentiel'!$F$2:$F$83,MATCH($C213,'Référentiel'!$A$2:$A$83,0)),0)),IF($M213&lt;&gt;"",IF($L213&lt;&gt;"",MIN($L213,$M213),$M213),IF($L213&lt;&gt;"",$L213,IF(IFERROR(INDEX('Référentiel'!$D$2:$D$83,MATCH($C213,'Référentiel'!$A$2:$A$83,0)),0)&gt;0,IFERROR(INDEX('Référentiel'!$D$2:$D$83,MATCH($C213,'Référentiel'!$A$2:$A$83,0)),0),""))))))</f>
      </c>
      <c r="O213" s="9"/>
      <c r="P213" s="23"/>
      <c r="Q213" s="9"/>
      <c r="R213" s="24"/>
      <c r="S213" s="23"/>
      <c r="T213" s="23"/>
      <c r="U213" s="24"/>
      <c r="V213" s="20">
        <f>IF($C213="","",IFERROR(INDEX('Référentiel'!$K$2:$K$83,MATCH($C213,'Référentiel'!$A$2:$A$83,0)),""))</f>
      </c>
      <c r="W213" s="20">
        <f>IF(AND(ISNUMBER($G213),$I213&lt;&gt;"Hors service",$I213&lt;&gt;"Location terminée"),$G213+ROW()/100000,"")</f>
      </c>
      <c r="X213" s="9"/>
    </row>
    <row r="214" spans="1:24" x14ac:dyDescent="0.25">
      <c r="A214" s="9"/>
      <c r="B214" s="9"/>
      <c r="C214" s="9"/>
      <c r="D214" s="9"/>
      <c r="E214" s="19">
        <f>IF($A214="","",IF(SUMPRODUCT(MAX((Vérifications!$B$2:$B$1001=$A214)*Vérifications!$L$2:$L$1001))=0,"",SUMPRODUCT(MAX((Vérifications!$B$2:$B$1001=$A214)*Vérifications!$L$2:$L$1001))))</f>
      </c>
      <c r="F214" s="20">
        <f>IF($E214="","",IFERROR(INDEX(Vérifications!$E$2:$E$1001,MATCH($A214&amp;"|"&amp;$E214,Vérifications!$M$2:$M$1001,0)),""))</f>
      </c>
      <c r="G214" s="19">
        <f>IF($N214="","",IF(ISNUMBER($E214),EDATE($E214,$N214),IF(AND(ISNUMBER($U214),IFERROR(INDEX('Référentiel'!$E$2:$E$83,MATCH($C214,'Référentiel'!$A$2:$A$83,0)),0)&gt;0),EDATE($U214,IFERROR(INDEX('Référentiel'!$E$2:$E$83,MATCH($C214,'Référentiel'!$A$2:$A$83,0)),0)),"")))</f>
      </c>
      <c r="H214" s="21">
        <f>IF(ISNUMBER($G214),$G214-TODAY(),"")</f>
      </c>
      <c r="I214" s="20">
        <f>IF(AND($A214="",$C214=""),"",IF($T214="Non","Hors service",IF(AND($Q214="Location",ISNUMBER($R214),$R214&lt;TODAY()),"Location terminée",IF(OR($F214="Mise à l'arrêt",IF($A214="",0,SUMPRODUCT((Réserves!$B$2:$B$301=$A214)*(Réserves!$E$2:$E$301="Mise à l'arrêt")*(Réserves!$J$2:$J$301&lt;&gt;"Levée")*(Réserves!$J$2:$J$301&lt;&gt;"")))&gt;0),"Arrêt : réserve à lever",IF($C214="","Type à choisir",IF($N214="","Périodicité à saisir",IF(OR(ISTEXT($U214),ISTEXT($R214)),"Date à corriger",IF(AND($E214="",$Q214="Location",$S214&lt;&gt;"Oui"),"Rapport loueur à obtenir",IF(NOT(ISNUMBER($G214)),"Vérif. initiale à tracer",IF($H214&lt;0,"En retard",IF(AND($Q214="Location",$S214&lt;&gt;"Oui"),"Rapport loueur à obtenir",IF($H214&lt;='Tableau de bord'!$C$4,"À planifier","À jour"))))))))))))</f>
      </c>
      <c r="J214" s="22">
        <f>IF($A214="","",COUNTIFS(Réserves!$B$2:$B$301,$A214,Réserves!$J$2:$J$301,"Ouverte")+COUNTIFS(Réserves!$B$2:$B$301,$A214,Réserves!$J$2:$J$301,"En retard"))</f>
      </c>
      <c r="K214" s="20">
        <f>IF($C214="","",IFERROR(INDEX('Référentiel'!$B$2:$B$83,MATCH($C214,'Référentiel'!$A$2:$A$83,0)),"Type hors liste"))</f>
      </c>
      <c r="L214" s="22">
        <f>IF($C214="","",IF(IFERROR(INDEX('Référentiel'!$C$2:$C$83,MATCH($C214,'Référentiel'!$A$2:$A$83,0)),0)=0,"",IFERROR(INDEX('Référentiel'!$C$2:$C$83,MATCH($C214,'Référentiel'!$A$2:$A$83,0)),0)))</f>
      </c>
      <c r="M214" s="23"/>
      <c r="N214" s="22">
        <f>IF($C214="","",IF(IF($M214&lt;&gt;"",IF($L214&lt;&gt;"",MIN($L214,$M214),$M214),IF($L214&lt;&gt;"",$L214,IF(IFERROR(INDEX('Référentiel'!$D$2:$D$83,MATCH($C214,'Référentiel'!$A$2:$A$83,0)),0)&gt;0,IFERROR(INDEX('Référentiel'!$D$2:$D$83,MATCH($C214,'Référentiel'!$A$2:$A$83,0)),0),"")))="","",IF(AND(IFERROR(INDEX('Référentiel'!$F$2:$F$83,MATCH($C214,'Référentiel'!$A$2:$A$83,0)),0)&gt;0,N($J214)&gt;0),MIN(IF($M214&lt;&gt;"",IF($L214&lt;&gt;"",MIN($L214,$M214),$M214),IF($L214&lt;&gt;"",$L214,IF(IFERROR(INDEX('Référentiel'!$D$2:$D$83,MATCH($C214,'Référentiel'!$A$2:$A$83,0)),0)&gt;0,IFERROR(INDEX('Référentiel'!$D$2:$D$83,MATCH($C214,'Référentiel'!$A$2:$A$83,0)),0),""))),IFERROR(INDEX('Référentiel'!$F$2:$F$83,MATCH($C214,'Référentiel'!$A$2:$A$83,0)),0)),IF($M214&lt;&gt;"",IF($L214&lt;&gt;"",MIN($L214,$M214),$M214),IF($L214&lt;&gt;"",$L214,IF(IFERROR(INDEX('Référentiel'!$D$2:$D$83,MATCH($C214,'Référentiel'!$A$2:$A$83,0)),0)&gt;0,IFERROR(INDEX('Référentiel'!$D$2:$D$83,MATCH($C214,'Référentiel'!$A$2:$A$83,0)),0),""))))))</f>
      </c>
      <c r="O214" s="9"/>
      <c r="P214" s="23"/>
      <c r="Q214" s="9"/>
      <c r="R214" s="24"/>
      <c r="S214" s="23"/>
      <c r="T214" s="23"/>
      <c r="U214" s="24"/>
      <c r="V214" s="20">
        <f>IF($C214="","",IFERROR(INDEX('Référentiel'!$K$2:$K$83,MATCH($C214,'Référentiel'!$A$2:$A$83,0)),""))</f>
      </c>
      <c r="W214" s="20">
        <f>IF(AND(ISNUMBER($G214),$I214&lt;&gt;"Hors service",$I214&lt;&gt;"Location terminée"),$G214+ROW()/100000,"")</f>
      </c>
      <c r="X214" s="9"/>
    </row>
    <row r="215" spans="1:24" x14ac:dyDescent="0.25">
      <c r="A215" s="9"/>
      <c r="B215" s="9"/>
      <c r="C215" s="9"/>
      <c r="D215" s="9"/>
      <c r="E215" s="19">
        <f>IF($A215="","",IF(SUMPRODUCT(MAX((Vérifications!$B$2:$B$1001=$A215)*Vérifications!$L$2:$L$1001))=0,"",SUMPRODUCT(MAX((Vérifications!$B$2:$B$1001=$A215)*Vérifications!$L$2:$L$1001))))</f>
      </c>
      <c r="F215" s="20">
        <f>IF($E215="","",IFERROR(INDEX(Vérifications!$E$2:$E$1001,MATCH($A215&amp;"|"&amp;$E215,Vérifications!$M$2:$M$1001,0)),""))</f>
      </c>
      <c r="G215" s="19">
        <f>IF($N215="","",IF(ISNUMBER($E215),EDATE($E215,$N215),IF(AND(ISNUMBER($U215),IFERROR(INDEX('Référentiel'!$E$2:$E$83,MATCH($C215,'Référentiel'!$A$2:$A$83,0)),0)&gt;0),EDATE($U215,IFERROR(INDEX('Référentiel'!$E$2:$E$83,MATCH($C215,'Référentiel'!$A$2:$A$83,0)),0)),"")))</f>
      </c>
      <c r="H215" s="21">
        <f>IF(ISNUMBER($G215),$G215-TODAY(),"")</f>
      </c>
      <c r="I215" s="20">
        <f>IF(AND($A215="",$C215=""),"",IF($T215="Non","Hors service",IF(AND($Q215="Location",ISNUMBER($R215),$R215&lt;TODAY()),"Location terminée",IF(OR($F215="Mise à l'arrêt",IF($A215="",0,SUMPRODUCT((Réserves!$B$2:$B$301=$A215)*(Réserves!$E$2:$E$301="Mise à l'arrêt")*(Réserves!$J$2:$J$301&lt;&gt;"Levée")*(Réserves!$J$2:$J$301&lt;&gt;"")))&gt;0),"Arrêt : réserve à lever",IF($C215="","Type à choisir",IF($N215="","Périodicité à saisir",IF(OR(ISTEXT($U215),ISTEXT($R215)),"Date à corriger",IF(AND($E215="",$Q215="Location",$S215&lt;&gt;"Oui"),"Rapport loueur à obtenir",IF(NOT(ISNUMBER($G215)),"Vérif. initiale à tracer",IF($H215&lt;0,"En retard",IF(AND($Q215="Location",$S215&lt;&gt;"Oui"),"Rapport loueur à obtenir",IF($H215&lt;='Tableau de bord'!$C$4,"À planifier","À jour"))))))))))))</f>
      </c>
      <c r="J215" s="22">
        <f>IF($A215="","",COUNTIFS(Réserves!$B$2:$B$301,$A215,Réserves!$J$2:$J$301,"Ouverte")+COUNTIFS(Réserves!$B$2:$B$301,$A215,Réserves!$J$2:$J$301,"En retard"))</f>
      </c>
      <c r="K215" s="20">
        <f>IF($C215="","",IFERROR(INDEX('Référentiel'!$B$2:$B$83,MATCH($C215,'Référentiel'!$A$2:$A$83,0)),"Type hors liste"))</f>
      </c>
      <c r="L215" s="22">
        <f>IF($C215="","",IF(IFERROR(INDEX('Référentiel'!$C$2:$C$83,MATCH($C215,'Référentiel'!$A$2:$A$83,0)),0)=0,"",IFERROR(INDEX('Référentiel'!$C$2:$C$83,MATCH($C215,'Référentiel'!$A$2:$A$83,0)),0)))</f>
      </c>
      <c r="M215" s="23"/>
      <c r="N215" s="22">
        <f>IF($C215="","",IF(IF($M215&lt;&gt;"",IF($L215&lt;&gt;"",MIN($L215,$M215),$M215),IF($L215&lt;&gt;"",$L215,IF(IFERROR(INDEX('Référentiel'!$D$2:$D$83,MATCH($C215,'Référentiel'!$A$2:$A$83,0)),0)&gt;0,IFERROR(INDEX('Référentiel'!$D$2:$D$83,MATCH($C215,'Référentiel'!$A$2:$A$83,0)),0),"")))="","",IF(AND(IFERROR(INDEX('Référentiel'!$F$2:$F$83,MATCH($C215,'Référentiel'!$A$2:$A$83,0)),0)&gt;0,N($J215)&gt;0),MIN(IF($M215&lt;&gt;"",IF($L215&lt;&gt;"",MIN($L215,$M215),$M215),IF($L215&lt;&gt;"",$L215,IF(IFERROR(INDEX('Référentiel'!$D$2:$D$83,MATCH($C215,'Référentiel'!$A$2:$A$83,0)),0)&gt;0,IFERROR(INDEX('Référentiel'!$D$2:$D$83,MATCH($C215,'Référentiel'!$A$2:$A$83,0)),0),""))),IFERROR(INDEX('Référentiel'!$F$2:$F$83,MATCH($C215,'Référentiel'!$A$2:$A$83,0)),0)),IF($M215&lt;&gt;"",IF($L215&lt;&gt;"",MIN($L215,$M215),$M215),IF($L215&lt;&gt;"",$L215,IF(IFERROR(INDEX('Référentiel'!$D$2:$D$83,MATCH($C215,'Référentiel'!$A$2:$A$83,0)),0)&gt;0,IFERROR(INDEX('Référentiel'!$D$2:$D$83,MATCH($C215,'Référentiel'!$A$2:$A$83,0)),0),""))))))</f>
      </c>
      <c r="O215" s="9"/>
      <c r="P215" s="23"/>
      <c r="Q215" s="9"/>
      <c r="R215" s="24"/>
      <c r="S215" s="23"/>
      <c r="T215" s="23"/>
      <c r="U215" s="24"/>
      <c r="V215" s="20">
        <f>IF($C215="","",IFERROR(INDEX('Référentiel'!$K$2:$K$83,MATCH($C215,'Référentiel'!$A$2:$A$83,0)),""))</f>
      </c>
      <c r="W215" s="20">
        <f>IF(AND(ISNUMBER($G215),$I215&lt;&gt;"Hors service",$I215&lt;&gt;"Location terminée"),$G215+ROW()/100000,"")</f>
      </c>
      <c r="X215" s="9"/>
    </row>
    <row r="216" spans="1:24" x14ac:dyDescent="0.25">
      <c r="A216" s="9"/>
      <c r="B216" s="9"/>
      <c r="C216" s="9"/>
      <c r="D216" s="9"/>
      <c r="E216" s="19">
        <f>IF($A216="","",IF(SUMPRODUCT(MAX((Vérifications!$B$2:$B$1001=$A216)*Vérifications!$L$2:$L$1001))=0,"",SUMPRODUCT(MAX((Vérifications!$B$2:$B$1001=$A216)*Vérifications!$L$2:$L$1001))))</f>
      </c>
      <c r="F216" s="20">
        <f>IF($E216="","",IFERROR(INDEX(Vérifications!$E$2:$E$1001,MATCH($A216&amp;"|"&amp;$E216,Vérifications!$M$2:$M$1001,0)),""))</f>
      </c>
      <c r="G216" s="19">
        <f>IF($N216="","",IF(ISNUMBER($E216),EDATE($E216,$N216),IF(AND(ISNUMBER($U216),IFERROR(INDEX('Référentiel'!$E$2:$E$83,MATCH($C216,'Référentiel'!$A$2:$A$83,0)),0)&gt;0),EDATE($U216,IFERROR(INDEX('Référentiel'!$E$2:$E$83,MATCH($C216,'Référentiel'!$A$2:$A$83,0)),0)),"")))</f>
      </c>
      <c r="H216" s="21">
        <f>IF(ISNUMBER($G216),$G216-TODAY(),"")</f>
      </c>
      <c r="I216" s="20">
        <f>IF(AND($A216="",$C216=""),"",IF($T216="Non","Hors service",IF(AND($Q216="Location",ISNUMBER($R216),$R216&lt;TODAY()),"Location terminée",IF(OR($F216="Mise à l'arrêt",IF($A216="",0,SUMPRODUCT((Réserves!$B$2:$B$301=$A216)*(Réserves!$E$2:$E$301="Mise à l'arrêt")*(Réserves!$J$2:$J$301&lt;&gt;"Levée")*(Réserves!$J$2:$J$301&lt;&gt;"")))&gt;0),"Arrêt : réserve à lever",IF($C216="","Type à choisir",IF($N216="","Périodicité à saisir",IF(OR(ISTEXT($U216),ISTEXT($R216)),"Date à corriger",IF(AND($E216="",$Q216="Location",$S216&lt;&gt;"Oui"),"Rapport loueur à obtenir",IF(NOT(ISNUMBER($G216)),"Vérif. initiale à tracer",IF($H216&lt;0,"En retard",IF(AND($Q216="Location",$S216&lt;&gt;"Oui"),"Rapport loueur à obtenir",IF($H216&lt;='Tableau de bord'!$C$4,"À planifier","À jour"))))))))))))</f>
      </c>
      <c r="J216" s="22">
        <f>IF($A216="","",COUNTIFS(Réserves!$B$2:$B$301,$A216,Réserves!$J$2:$J$301,"Ouverte")+COUNTIFS(Réserves!$B$2:$B$301,$A216,Réserves!$J$2:$J$301,"En retard"))</f>
      </c>
      <c r="K216" s="20">
        <f>IF($C216="","",IFERROR(INDEX('Référentiel'!$B$2:$B$83,MATCH($C216,'Référentiel'!$A$2:$A$83,0)),"Type hors liste"))</f>
      </c>
      <c r="L216" s="22">
        <f>IF($C216="","",IF(IFERROR(INDEX('Référentiel'!$C$2:$C$83,MATCH($C216,'Référentiel'!$A$2:$A$83,0)),0)=0,"",IFERROR(INDEX('Référentiel'!$C$2:$C$83,MATCH($C216,'Référentiel'!$A$2:$A$83,0)),0)))</f>
      </c>
      <c r="M216" s="23"/>
      <c r="N216" s="22">
        <f>IF($C216="","",IF(IF($M216&lt;&gt;"",IF($L216&lt;&gt;"",MIN($L216,$M216),$M216),IF($L216&lt;&gt;"",$L216,IF(IFERROR(INDEX('Référentiel'!$D$2:$D$83,MATCH($C216,'Référentiel'!$A$2:$A$83,0)),0)&gt;0,IFERROR(INDEX('Référentiel'!$D$2:$D$83,MATCH($C216,'Référentiel'!$A$2:$A$83,0)),0),"")))="","",IF(AND(IFERROR(INDEX('Référentiel'!$F$2:$F$83,MATCH($C216,'Référentiel'!$A$2:$A$83,0)),0)&gt;0,N($J216)&gt;0),MIN(IF($M216&lt;&gt;"",IF($L216&lt;&gt;"",MIN($L216,$M216),$M216),IF($L216&lt;&gt;"",$L216,IF(IFERROR(INDEX('Référentiel'!$D$2:$D$83,MATCH($C216,'Référentiel'!$A$2:$A$83,0)),0)&gt;0,IFERROR(INDEX('Référentiel'!$D$2:$D$83,MATCH($C216,'Référentiel'!$A$2:$A$83,0)),0),""))),IFERROR(INDEX('Référentiel'!$F$2:$F$83,MATCH($C216,'Référentiel'!$A$2:$A$83,0)),0)),IF($M216&lt;&gt;"",IF($L216&lt;&gt;"",MIN($L216,$M216),$M216),IF($L216&lt;&gt;"",$L216,IF(IFERROR(INDEX('Référentiel'!$D$2:$D$83,MATCH($C216,'Référentiel'!$A$2:$A$83,0)),0)&gt;0,IFERROR(INDEX('Référentiel'!$D$2:$D$83,MATCH($C216,'Référentiel'!$A$2:$A$83,0)),0),""))))))</f>
      </c>
      <c r="O216" s="9"/>
      <c r="P216" s="23"/>
      <c r="Q216" s="9"/>
      <c r="R216" s="24"/>
      <c r="S216" s="23"/>
      <c r="T216" s="23"/>
      <c r="U216" s="24"/>
      <c r="V216" s="20">
        <f>IF($C216="","",IFERROR(INDEX('Référentiel'!$K$2:$K$83,MATCH($C216,'Référentiel'!$A$2:$A$83,0)),""))</f>
      </c>
      <c r="W216" s="20">
        <f>IF(AND(ISNUMBER($G216),$I216&lt;&gt;"Hors service",$I216&lt;&gt;"Location terminée"),$G216+ROW()/100000,"")</f>
      </c>
      <c r="X216" s="9"/>
    </row>
    <row r="217" spans="1:24" x14ac:dyDescent="0.25">
      <c r="A217" s="9"/>
      <c r="B217" s="9"/>
      <c r="C217" s="9"/>
      <c r="D217" s="9"/>
      <c r="E217" s="19">
        <f>IF($A217="","",IF(SUMPRODUCT(MAX((Vérifications!$B$2:$B$1001=$A217)*Vérifications!$L$2:$L$1001))=0,"",SUMPRODUCT(MAX((Vérifications!$B$2:$B$1001=$A217)*Vérifications!$L$2:$L$1001))))</f>
      </c>
      <c r="F217" s="20">
        <f>IF($E217="","",IFERROR(INDEX(Vérifications!$E$2:$E$1001,MATCH($A217&amp;"|"&amp;$E217,Vérifications!$M$2:$M$1001,0)),""))</f>
      </c>
      <c r="G217" s="19">
        <f>IF($N217="","",IF(ISNUMBER($E217),EDATE($E217,$N217),IF(AND(ISNUMBER($U217),IFERROR(INDEX('Référentiel'!$E$2:$E$83,MATCH($C217,'Référentiel'!$A$2:$A$83,0)),0)&gt;0),EDATE($U217,IFERROR(INDEX('Référentiel'!$E$2:$E$83,MATCH($C217,'Référentiel'!$A$2:$A$83,0)),0)),"")))</f>
      </c>
      <c r="H217" s="21">
        <f>IF(ISNUMBER($G217),$G217-TODAY(),"")</f>
      </c>
      <c r="I217" s="20">
        <f>IF(AND($A217="",$C217=""),"",IF($T217="Non","Hors service",IF(AND($Q217="Location",ISNUMBER($R217),$R217&lt;TODAY()),"Location terminée",IF(OR($F217="Mise à l'arrêt",IF($A217="",0,SUMPRODUCT((Réserves!$B$2:$B$301=$A217)*(Réserves!$E$2:$E$301="Mise à l'arrêt")*(Réserves!$J$2:$J$301&lt;&gt;"Levée")*(Réserves!$J$2:$J$301&lt;&gt;"")))&gt;0),"Arrêt : réserve à lever",IF($C217="","Type à choisir",IF($N217="","Périodicité à saisir",IF(OR(ISTEXT($U217),ISTEXT($R217)),"Date à corriger",IF(AND($E217="",$Q217="Location",$S217&lt;&gt;"Oui"),"Rapport loueur à obtenir",IF(NOT(ISNUMBER($G217)),"Vérif. initiale à tracer",IF($H217&lt;0,"En retard",IF(AND($Q217="Location",$S217&lt;&gt;"Oui"),"Rapport loueur à obtenir",IF($H217&lt;='Tableau de bord'!$C$4,"À planifier","À jour"))))))))))))</f>
      </c>
      <c r="J217" s="22">
        <f>IF($A217="","",COUNTIFS(Réserves!$B$2:$B$301,$A217,Réserves!$J$2:$J$301,"Ouverte")+COUNTIFS(Réserves!$B$2:$B$301,$A217,Réserves!$J$2:$J$301,"En retard"))</f>
      </c>
      <c r="K217" s="20">
        <f>IF($C217="","",IFERROR(INDEX('Référentiel'!$B$2:$B$83,MATCH($C217,'Référentiel'!$A$2:$A$83,0)),"Type hors liste"))</f>
      </c>
      <c r="L217" s="22">
        <f>IF($C217="","",IF(IFERROR(INDEX('Référentiel'!$C$2:$C$83,MATCH($C217,'Référentiel'!$A$2:$A$83,0)),0)=0,"",IFERROR(INDEX('Référentiel'!$C$2:$C$83,MATCH($C217,'Référentiel'!$A$2:$A$83,0)),0)))</f>
      </c>
      <c r="M217" s="23"/>
      <c r="N217" s="22">
        <f>IF($C217="","",IF(IF($M217&lt;&gt;"",IF($L217&lt;&gt;"",MIN($L217,$M217),$M217),IF($L217&lt;&gt;"",$L217,IF(IFERROR(INDEX('Référentiel'!$D$2:$D$83,MATCH($C217,'Référentiel'!$A$2:$A$83,0)),0)&gt;0,IFERROR(INDEX('Référentiel'!$D$2:$D$83,MATCH($C217,'Référentiel'!$A$2:$A$83,0)),0),"")))="","",IF(AND(IFERROR(INDEX('Référentiel'!$F$2:$F$83,MATCH($C217,'Référentiel'!$A$2:$A$83,0)),0)&gt;0,N($J217)&gt;0),MIN(IF($M217&lt;&gt;"",IF($L217&lt;&gt;"",MIN($L217,$M217),$M217),IF($L217&lt;&gt;"",$L217,IF(IFERROR(INDEX('Référentiel'!$D$2:$D$83,MATCH($C217,'Référentiel'!$A$2:$A$83,0)),0)&gt;0,IFERROR(INDEX('Référentiel'!$D$2:$D$83,MATCH($C217,'Référentiel'!$A$2:$A$83,0)),0),""))),IFERROR(INDEX('Référentiel'!$F$2:$F$83,MATCH($C217,'Référentiel'!$A$2:$A$83,0)),0)),IF($M217&lt;&gt;"",IF($L217&lt;&gt;"",MIN($L217,$M217),$M217),IF($L217&lt;&gt;"",$L217,IF(IFERROR(INDEX('Référentiel'!$D$2:$D$83,MATCH($C217,'Référentiel'!$A$2:$A$83,0)),0)&gt;0,IFERROR(INDEX('Référentiel'!$D$2:$D$83,MATCH($C217,'Référentiel'!$A$2:$A$83,0)),0),""))))))</f>
      </c>
      <c r="O217" s="9"/>
      <c r="P217" s="23"/>
      <c r="Q217" s="9"/>
      <c r="R217" s="24"/>
      <c r="S217" s="23"/>
      <c r="T217" s="23"/>
      <c r="U217" s="24"/>
      <c r="V217" s="20">
        <f>IF($C217="","",IFERROR(INDEX('Référentiel'!$K$2:$K$83,MATCH($C217,'Référentiel'!$A$2:$A$83,0)),""))</f>
      </c>
      <c r="W217" s="20">
        <f>IF(AND(ISNUMBER($G217),$I217&lt;&gt;"Hors service",$I217&lt;&gt;"Location terminée"),$G217+ROW()/100000,"")</f>
      </c>
      <c r="X217" s="9"/>
    </row>
    <row r="218" spans="1:24" x14ac:dyDescent="0.25">
      <c r="A218" s="9"/>
      <c r="B218" s="9"/>
      <c r="C218" s="9"/>
      <c r="D218" s="9"/>
      <c r="E218" s="19">
        <f>IF($A218="","",IF(SUMPRODUCT(MAX((Vérifications!$B$2:$B$1001=$A218)*Vérifications!$L$2:$L$1001))=0,"",SUMPRODUCT(MAX((Vérifications!$B$2:$B$1001=$A218)*Vérifications!$L$2:$L$1001))))</f>
      </c>
      <c r="F218" s="20">
        <f>IF($E218="","",IFERROR(INDEX(Vérifications!$E$2:$E$1001,MATCH($A218&amp;"|"&amp;$E218,Vérifications!$M$2:$M$1001,0)),""))</f>
      </c>
      <c r="G218" s="19">
        <f>IF($N218="","",IF(ISNUMBER($E218),EDATE($E218,$N218),IF(AND(ISNUMBER($U218),IFERROR(INDEX('Référentiel'!$E$2:$E$83,MATCH($C218,'Référentiel'!$A$2:$A$83,0)),0)&gt;0),EDATE($U218,IFERROR(INDEX('Référentiel'!$E$2:$E$83,MATCH($C218,'Référentiel'!$A$2:$A$83,0)),0)),"")))</f>
      </c>
      <c r="H218" s="21">
        <f>IF(ISNUMBER($G218),$G218-TODAY(),"")</f>
      </c>
      <c r="I218" s="20">
        <f>IF(AND($A218="",$C218=""),"",IF($T218="Non","Hors service",IF(AND($Q218="Location",ISNUMBER($R218),$R218&lt;TODAY()),"Location terminée",IF(OR($F218="Mise à l'arrêt",IF($A218="",0,SUMPRODUCT((Réserves!$B$2:$B$301=$A218)*(Réserves!$E$2:$E$301="Mise à l'arrêt")*(Réserves!$J$2:$J$301&lt;&gt;"Levée")*(Réserves!$J$2:$J$301&lt;&gt;"")))&gt;0),"Arrêt : réserve à lever",IF($C218="","Type à choisir",IF($N218="","Périodicité à saisir",IF(OR(ISTEXT($U218),ISTEXT($R218)),"Date à corriger",IF(AND($E218="",$Q218="Location",$S218&lt;&gt;"Oui"),"Rapport loueur à obtenir",IF(NOT(ISNUMBER($G218)),"Vérif. initiale à tracer",IF($H218&lt;0,"En retard",IF(AND($Q218="Location",$S218&lt;&gt;"Oui"),"Rapport loueur à obtenir",IF($H218&lt;='Tableau de bord'!$C$4,"À planifier","À jour"))))))))))))</f>
      </c>
      <c r="J218" s="22">
        <f>IF($A218="","",COUNTIFS(Réserves!$B$2:$B$301,$A218,Réserves!$J$2:$J$301,"Ouverte")+COUNTIFS(Réserves!$B$2:$B$301,$A218,Réserves!$J$2:$J$301,"En retard"))</f>
      </c>
      <c r="K218" s="20">
        <f>IF($C218="","",IFERROR(INDEX('Référentiel'!$B$2:$B$83,MATCH($C218,'Référentiel'!$A$2:$A$83,0)),"Type hors liste"))</f>
      </c>
      <c r="L218" s="22">
        <f>IF($C218="","",IF(IFERROR(INDEX('Référentiel'!$C$2:$C$83,MATCH($C218,'Référentiel'!$A$2:$A$83,0)),0)=0,"",IFERROR(INDEX('Référentiel'!$C$2:$C$83,MATCH($C218,'Référentiel'!$A$2:$A$83,0)),0)))</f>
      </c>
      <c r="M218" s="23"/>
      <c r="N218" s="22">
        <f>IF($C218="","",IF(IF($M218&lt;&gt;"",IF($L218&lt;&gt;"",MIN($L218,$M218),$M218),IF($L218&lt;&gt;"",$L218,IF(IFERROR(INDEX('Référentiel'!$D$2:$D$83,MATCH($C218,'Référentiel'!$A$2:$A$83,0)),0)&gt;0,IFERROR(INDEX('Référentiel'!$D$2:$D$83,MATCH($C218,'Référentiel'!$A$2:$A$83,0)),0),"")))="","",IF(AND(IFERROR(INDEX('Référentiel'!$F$2:$F$83,MATCH($C218,'Référentiel'!$A$2:$A$83,0)),0)&gt;0,N($J218)&gt;0),MIN(IF($M218&lt;&gt;"",IF($L218&lt;&gt;"",MIN($L218,$M218),$M218),IF($L218&lt;&gt;"",$L218,IF(IFERROR(INDEX('Référentiel'!$D$2:$D$83,MATCH($C218,'Référentiel'!$A$2:$A$83,0)),0)&gt;0,IFERROR(INDEX('Référentiel'!$D$2:$D$83,MATCH($C218,'Référentiel'!$A$2:$A$83,0)),0),""))),IFERROR(INDEX('Référentiel'!$F$2:$F$83,MATCH($C218,'Référentiel'!$A$2:$A$83,0)),0)),IF($M218&lt;&gt;"",IF($L218&lt;&gt;"",MIN($L218,$M218),$M218),IF($L218&lt;&gt;"",$L218,IF(IFERROR(INDEX('Référentiel'!$D$2:$D$83,MATCH($C218,'Référentiel'!$A$2:$A$83,0)),0)&gt;0,IFERROR(INDEX('Référentiel'!$D$2:$D$83,MATCH($C218,'Référentiel'!$A$2:$A$83,0)),0),""))))))</f>
      </c>
      <c r="O218" s="9"/>
      <c r="P218" s="23"/>
      <c r="Q218" s="9"/>
      <c r="R218" s="24"/>
      <c r="S218" s="23"/>
      <c r="T218" s="23"/>
      <c r="U218" s="24"/>
      <c r="V218" s="20">
        <f>IF($C218="","",IFERROR(INDEX('Référentiel'!$K$2:$K$83,MATCH($C218,'Référentiel'!$A$2:$A$83,0)),""))</f>
      </c>
      <c r="W218" s="20">
        <f>IF(AND(ISNUMBER($G218),$I218&lt;&gt;"Hors service",$I218&lt;&gt;"Location terminée"),$G218+ROW()/100000,"")</f>
      </c>
      <c r="X218" s="9"/>
    </row>
    <row r="219" spans="1:24" x14ac:dyDescent="0.25">
      <c r="A219" s="9"/>
      <c r="B219" s="9"/>
      <c r="C219" s="9"/>
      <c r="D219" s="9"/>
      <c r="E219" s="19">
        <f>IF($A219="","",IF(SUMPRODUCT(MAX((Vérifications!$B$2:$B$1001=$A219)*Vérifications!$L$2:$L$1001))=0,"",SUMPRODUCT(MAX((Vérifications!$B$2:$B$1001=$A219)*Vérifications!$L$2:$L$1001))))</f>
      </c>
      <c r="F219" s="20">
        <f>IF($E219="","",IFERROR(INDEX(Vérifications!$E$2:$E$1001,MATCH($A219&amp;"|"&amp;$E219,Vérifications!$M$2:$M$1001,0)),""))</f>
      </c>
      <c r="G219" s="19">
        <f>IF($N219="","",IF(ISNUMBER($E219),EDATE($E219,$N219),IF(AND(ISNUMBER($U219),IFERROR(INDEX('Référentiel'!$E$2:$E$83,MATCH($C219,'Référentiel'!$A$2:$A$83,0)),0)&gt;0),EDATE($U219,IFERROR(INDEX('Référentiel'!$E$2:$E$83,MATCH($C219,'Référentiel'!$A$2:$A$83,0)),0)),"")))</f>
      </c>
      <c r="H219" s="21">
        <f>IF(ISNUMBER($G219),$G219-TODAY(),"")</f>
      </c>
      <c r="I219" s="20">
        <f>IF(AND($A219="",$C219=""),"",IF($T219="Non","Hors service",IF(AND($Q219="Location",ISNUMBER($R219),$R219&lt;TODAY()),"Location terminée",IF(OR($F219="Mise à l'arrêt",IF($A219="",0,SUMPRODUCT((Réserves!$B$2:$B$301=$A219)*(Réserves!$E$2:$E$301="Mise à l'arrêt")*(Réserves!$J$2:$J$301&lt;&gt;"Levée")*(Réserves!$J$2:$J$301&lt;&gt;"")))&gt;0),"Arrêt : réserve à lever",IF($C219="","Type à choisir",IF($N219="","Périodicité à saisir",IF(OR(ISTEXT($U219),ISTEXT($R219)),"Date à corriger",IF(AND($E219="",$Q219="Location",$S219&lt;&gt;"Oui"),"Rapport loueur à obtenir",IF(NOT(ISNUMBER($G219)),"Vérif. initiale à tracer",IF($H219&lt;0,"En retard",IF(AND($Q219="Location",$S219&lt;&gt;"Oui"),"Rapport loueur à obtenir",IF($H219&lt;='Tableau de bord'!$C$4,"À planifier","À jour"))))))))))))</f>
      </c>
      <c r="J219" s="22">
        <f>IF($A219="","",COUNTIFS(Réserves!$B$2:$B$301,$A219,Réserves!$J$2:$J$301,"Ouverte")+COUNTIFS(Réserves!$B$2:$B$301,$A219,Réserves!$J$2:$J$301,"En retard"))</f>
      </c>
      <c r="K219" s="20">
        <f>IF($C219="","",IFERROR(INDEX('Référentiel'!$B$2:$B$83,MATCH($C219,'Référentiel'!$A$2:$A$83,0)),"Type hors liste"))</f>
      </c>
      <c r="L219" s="22">
        <f>IF($C219="","",IF(IFERROR(INDEX('Référentiel'!$C$2:$C$83,MATCH($C219,'Référentiel'!$A$2:$A$83,0)),0)=0,"",IFERROR(INDEX('Référentiel'!$C$2:$C$83,MATCH($C219,'Référentiel'!$A$2:$A$83,0)),0)))</f>
      </c>
      <c r="M219" s="23"/>
      <c r="N219" s="22">
        <f>IF($C219="","",IF(IF($M219&lt;&gt;"",IF($L219&lt;&gt;"",MIN($L219,$M219),$M219),IF($L219&lt;&gt;"",$L219,IF(IFERROR(INDEX('Référentiel'!$D$2:$D$83,MATCH($C219,'Référentiel'!$A$2:$A$83,0)),0)&gt;0,IFERROR(INDEX('Référentiel'!$D$2:$D$83,MATCH($C219,'Référentiel'!$A$2:$A$83,0)),0),"")))="","",IF(AND(IFERROR(INDEX('Référentiel'!$F$2:$F$83,MATCH($C219,'Référentiel'!$A$2:$A$83,0)),0)&gt;0,N($J219)&gt;0),MIN(IF($M219&lt;&gt;"",IF($L219&lt;&gt;"",MIN($L219,$M219),$M219),IF($L219&lt;&gt;"",$L219,IF(IFERROR(INDEX('Référentiel'!$D$2:$D$83,MATCH($C219,'Référentiel'!$A$2:$A$83,0)),0)&gt;0,IFERROR(INDEX('Référentiel'!$D$2:$D$83,MATCH($C219,'Référentiel'!$A$2:$A$83,0)),0),""))),IFERROR(INDEX('Référentiel'!$F$2:$F$83,MATCH($C219,'Référentiel'!$A$2:$A$83,0)),0)),IF($M219&lt;&gt;"",IF($L219&lt;&gt;"",MIN($L219,$M219),$M219),IF($L219&lt;&gt;"",$L219,IF(IFERROR(INDEX('Référentiel'!$D$2:$D$83,MATCH($C219,'Référentiel'!$A$2:$A$83,0)),0)&gt;0,IFERROR(INDEX('Référentiel'!$D$2:$D$83,MATCH($C219,'Référentiel'!$A$2:$A$83,0)),0),""))))))</f>
      </c>
      <c r="O219" s="9"/>
      <c r="P219" s="23"/>
      <c r="Q219" s="9"/>
      <c r="R219" s="24"/>
      <c r="S219" s="23"/>
      <c r="T219" s="23"/>
      <c r="U219" s="24"/>
      <c r="V219" s="20">
        <f>IF($C219="","",IFERROR(INDEX('Référentiel'!$K$2:$K$83,MATCH($C219,'Référentiel'!$A$2:$A$83,0)),""))</f>
      </c>
      <c r="W219" s="20">
        <f>IF(AND(ISNUMBER($G219),$I219&lt;&gt;"Hors service",$I219&lt;&gt;"Location terminée"),$G219+ROW()/100000,"")</f>
      </c>
      <c r="X219" s="9"/>
    </row>
    <row r="220" spans="1:24" x14ac:dyDescent="0.25">
      <c r="A220" s="9"/>
      <c r="B220" s="9"/>
      <c r="C220" s="9"/>
      <c r="D220" s="9"/>
      <c r="E220" s="19">
        <f>IF($A220="","",IF(SUMPRODUCT(MAX((Vérifications!$B$2:$B$1001=$A220)*Vérifications!$L$2:$L$1001))=0,"",SUMPRODUCT(MAX((Vérifications!$B$2:$B$1001=$A220)*Vérifications!$L$2:$L$1001))))</f>
      </c>
      <c r="F220" s="20">
        <f>IF($E220="","",IFERROR(INDEX(Vérifications!$E$2:$E$1001,MATCH($A220&amp;"|"&amp;$E220,Vérifications!$M$2:$M$1001,0)),""))</f>
      </c>
      <c r="G220" s="19">
        <f>IF($N220="","",IF(ISNUMBER($E220),EDATE($E220,$N220),IF(AND(ISNUMBER($U220),IFERROR(INDEX('Référentiel'!$E$2:$E$83,MATCH($C220,'Référentiel'!$A$2:$A$83,0)),0)&gt;0),EDATE($U220,IFERROR(INDEX('Référentiel'!$E$2:$E$83,MATCH($C220,'Référentiel'!$A$2:$A$83,0)),0)),"")))</f>
      </c>
      <c r="H220" s="21">
        <f>IF(ISNUMBER($G220),$G220-TODAY(),"")</f>
      </c>
      <c r="I220" s="20">
        <f>IF(AND($A220="",$C220=""),"",IF($T220="Non","Hors service",IF(AND($Q220="Location",ISNUMBER($R220),$R220&lt;TODAY()),"Location terminée",IF(OR($F220="Mise à l'arrêt",IF($A220="",0,SUMPRODUCT((Réserves!$B$2:$B$301=$A220)*(Réserves!$E$2:$E$301="Mise à l'arrêt")*(Réserves!$J$2:$J$301&lt;&gt;"Levée")*(Réserves!$J$2:$J$301&lt;&gt;"")))&gt;0),"Arrêt : réserve à lever",IF($C220="","Type à choisir",IF($N220="","Périodicité à saisir",IF(OR(ISTEXT($U220),ISTEXT($R220)),"Date à corriger",IF(AND($E220="",$Q220="Location",$S220&lt;&gt;"Oui"),"Rapport loueur à obtenir",IF(NOT(ISNUMBER($G220)),"Vérif. initiale à tracer",IF($H220&lt;0,"En retard",IF(AND($Q220="Location",$S220&lt;&gt;"Oui"),"Rapport loueur à obtenir",IF($H220&lt;='Tableau de bord'!$C$4,"À planifier","À jour"))))))))))))</f>
      </c>
      <c r="J220" s="22">
        <f>IF($A220="","",COUNTIFS(Réserves!$B$2:$B$301,$A220,Réserves!$J$2:$J$301,"Ouverte")+COUNTIFS(Réserves!$B$2:$B$301,$A220,Réserves!$J$2:$J$301,"En retard"))</f>
      </c>
      <c r="K220" s="20">
        <f>IF($C220="","",IFERROR(INDEX('Référentiel'!$B$2:$B$83,MATCH($C220,'Référentiel'!$A$2:$A$83,0)),"Type hors liste"))</f>
      </c>
      <c r="L220" s="22">
        <f>IF($C220="","",IF(IFERROR(INDEX('Référentiel'!$C$2:$C$83,MATCH($C220,'Référentiel'!$A$2:$A$83,0)),0)=0,"",IFERROR(INDEX('Référentiel'!$C$2:$C$83,MATCH($C220,'Référentiel'!$A$2:$A$83,0)),0)))</f>
      </c>
      <c r="M220" s="23"/>
      <c r="N220" s="22">
        <f>IF($C220="","",IF(IF($M220&lt;&gt;"",IF($L220&lt;&gt;"",MIN($L220,$M220),$M220),IF($L220&lt;&gt;"",$L220,IF(IFERROR(INDEX('Référentiel'!$D$2:$D$83,MATCH($C220,'Référentiel'!$A$2:$A$83,0)),0)&gt;0,IFERROR(INDEX('Référentiel'!$D$2:$D$83,MATCH($C220,'Référentiel'!$A$2:$A$83,0)),0),"")))="","",IF(AND(IFERROR(INDEX('Référentiel'!$F$2:$F$83,MATCH($C220,'Référentiel'!$A$2:$A$83,0)),0)&gt;0,N($J220)&gt;0),MIN(IF($M220&lt;&gt;"",IF($L220&lt;&gt;"",MIN($L220,$M220),$M220),IF($L220&lt;&gt;"",$L220,IF(IFERROR(INDEX('Référentiel'!$D$2:$D$83,MATCH($C220,'Référentiel'!$A$2:$A$83,0)),0)&gt;0,IFERROR(INDEX('Référentiel'!$D$2:$D$83,MATCH($C220,'Référentiel'!$A$2:$A$83,0)),0),""))),IFERROR(INDEX('Référentiel'!$F$2:$F$83,MATCH($C220,'Référentiel'!$A$2:$A$83,0)),0)),IF($M220&lt;&gt;"",IF($L220&lt;&gt;"",MIN($L220,$M220),$M220),IF($L220&lt;&gt;"",$L220,IF(IFERROR(INDEX('Référentiel'!$D$2:$D$83,MATCH($C220,'Référentiel'!$A$2:$A$83,0)),0)&gt;0,IFERROR(INDEX('Référentiel'!$D$2:$D$83,MATCH($C220,'Référentiel'!$A$2:$A$83,0)),0),""))))))</f>
      </c>
      <c r="O220" s="9"/>
      <c r="P220" s="23"/>
      <c r="Q220" s="9"/>
      <c r="R220" s="24"/>
      <c r="S220" s="23"/>
      <c r="T220" s="23"/>
      <c r="U220" s="24"/>
      <c r="V220" s="20">
        <f>IF($C220="","",IFERROR(INDEX('Référentiel'!$K$2:$K$83,MATCH($C220,'Référentiel'!$A$2:$A$83,0)),""))</f>
      </c>
      <c r="W220" s="20">
        <f>IF(AND(ISNUMBER($G220),$I220&lt;&gt;"Hors service",$I220&lt;&gt;"Location terminée"),$G220+ROW()/100000,"")</f>
      </c>
      <c r="X220" s="9"/>
    </row>
    <row r="221" spans="1:24" x14ac:dyDescent="0.25">
      <c r="A221" s="9"/>
      <c r="B221" s="9"/>
      <c r="C221" s="9"/>
      <c r="D221" s="9"/>
      <c r="E221" s="19">
        <f>IF($A221="","",IF(SUMPRODUCT(MAX((Vérifications!$B$2:$B$1001=$A221)*Vérifications!$L$2:$L$1001))=0,"",SUMPRODUCT(MAX((Vérifications!$B$2:$B$1001=$A221)*Vérifications!$L$2:$L$1001))))</f>
      </c>
      <c r="F221" s="20">
        <f>IF($E221="","",IFERROR(INDEX(Vérifications!$E$2:$E$1001,MATCH($A221&amp;"|"&amp;$E221,Vérifications!$M$2:$M$1001,0)),""))</f>
      </c>
      <c r="G221" s="19">
        <f>IF($N221="","",IF(ISNUMBER($E221),EDATE($E221,$N221),IF(AND(ISNUMBER($U221),IFERROR(INDEX('Référentiel'!$E$2:$E$83,MATCH($C221,'Référentiel'!$A$2:$A$83,0)),0)&gt;0),EDATE($U221,IFERROR(INDEX('Référentiel'!$E$2:$E$83,MATCH($C221,'Référentiel'!$A$2:$A$83,0)),0)),"")))</f>
      </c>
      <c r="H221" s="21">
        <f>IF(ISNUMBER($G221),$G221-TODAY(),"")</f>
      </c>
      <c r="I221" s="20">
        <f>IF(AND($A221="",$C221=""),"",IF($T221="Non","Hors service",IF(AND($Q221="Location",ISNUMBER($R221),$R221&lt;TODAY()),"Location terminée",IF(OR($F221="Mise à l'arrêt",IF($A221="",0,SUMPRODUCT((Réserves!$B$2:$B$301=$A221)*(Réserves!$E$2:$E$301="Mise à l'arrêt")*(Réserves!$J$2:$J$301&lt;&gt;"Levée")*(Réserves!$J$2:$J$301&lt;&gt;"")))&gt;0),"Arrêt : réserve à lever",IF($C221="","Type à choisir",IF($N221="","Périodicité à saisir",IF(OR(ISTEXT($U221),ISTEXT($R221)),"Date à corriger",IF(AND($E221="",$Q221="Location",$S221&lt;&gt;"Oui"),"Rapport loueur à obtenir",IF(NOT(ISNUMBER($G221)),"Vérif. initiale à tracer",IF($H221&lt;0,"En retard",IF(AND($Q221="Location",$S221&lt;&gt;"Oui"),"Rapport loueur à obtenir",IF($H221&lt;='Tableau de bord'!$C$4,"À planifier","À jour"))))))))))))</f>
      </c>
      <c r="J221" s="22">
        <f>IF($A221="","",COUNTIFS(Réserves!$B$2:$B$301,$A221,Réserves!$J$2:$J$301,"Ouverte")+COUNTIFS(Réserves!$B$2:$B$301,$A221,Réserves!$J$2:$J$301,"En retard"))</f>
      </c>
      <c r="K221" s="20">
        <f>IF($C221="","",IFERROR(INDEX('Référentiel'!$B$2:$B$83,MATCH($C221,'Référentiel'!$A$2:$A$83,0)),"Type hors liste"))</f>
      </c>
      <c r="L221" s="22">
        <f>IF($C221="","",IF(IFERROR(INDEX('Référentiel'!$C$2:$C$83,MATCH($C221,'Référentiel'!$A$2:$A$83,0)),0)=0,"",IFERROR(INDEX('Référentiel'!$C$2:$C$83,MATCH($C221,'Référentiel'!$A$2:$A$83,0)),0)))</f>
      </c>
      <c r="M221" s="23"/>
      <c r="N221" s="22">
        <f>IF($C221="","",IF(IF($M221&lt;&gt;"",IF($L221&lt;&gt;"",MIN($L221,$M221),$M221),IF($L221&lt;&gt;"",$L221,IF(IFERROR(INDEX('Référentiel'!$D$2:$D$83,MATCH($C221,'Référentiel'!$A$2:$A$83,0)),0)&gt;0,IFERROR(INDEX('Référentiel'!$D$2:$D$83,MATCH($C221,'Référentiel'!$A$2:$A$83,0)),0),"")))="","",IF(AND(IFERROR(INDEX('Référentiel'!$F$2:$F$83,MATCH($C221,'Référentiel'!$A$2:$A$83,0)),0)&gt;0,N($J221)&gt;0),MIN(IF($M221&lt;&gt;"",IF($L221&lt;&gt;"",MIN($L221,$M221),$M221),IF($L221&lt;&gt;"",$L221,IF(IFERROR(INDEX('Référentiel'!$D$2:$D$83,MATCH($C221,'Référentiel'!$A$2:$A$83,0)),0)&gt;0,IFERROR(INDEX('Référentiel'!$D$2:$D$83,MATCH($C221,'Référentiel'!$A$2:$A$83,0)),0),""))),IFERROR(INDEX('Référentiel'!$F$2:$F$83,MATCH($C221,'Référentiel'!$A$2:$A$83,0)),0)),IF($M221&lt;&gt;"",IF($L221&lt;&gt;"",MIN($L221,$M221),$M221),IF($L221&lt;&gt;"",$L221,IF(IFERROR(INDEX('Référentiel'!$D$2:$D$83,MATCH($C221,'Référentiel'!$A$2:$A$83,0)),0)&gt;0,IFERROR(INDEX('Référentiel'!$D$2:$D$83,MATCH($C221,'Référentiel'!$A$2:$A$83,0)),0),""))))))</f>
      </c>
      <c r="O221" s="9"/>
      <c r="P221" s="23"/>
      <c r="Q221" s="9"/>
      <c r="R221" s="24"/>
      <c r="S221" s="23"/>
      <c r="T221" s="23"/>
      <c r="U221" s="24"/>
      <c r="V221" s="20">
        <f>IF($C221="","",IFERROR(INDEX('Référentiel'!$K$2:$K$83,MATCH($C221,'Référentiel'!$A$2:$A$83,0)),""))</f>
      </c>
      <c r="W221" s="20">
        <f>IF(AND(ISNUMBER($G221),$I221&lt;&gt;"Hors service",$I221&lt;&gt;"Location terminée"),$G221+ROW()/100000,"")</f>
      </c>
      <c r="X221" s="9"/>
    </row>
    <row r="222" spans="1:24" x14ac:dyDescent="0.25">
      <c r="A222" s="9"/>
      <c r="B222" s="9"/>
      <c r="C222" s="9"/>
      <c r="D222" s="9"/>
      <c r="E222" s="19">
        <f>IF($A222="","",IF(SUMPRODUCT(MAX((Vérifications!$B$2:$B$1001=$A222)*Vérifications!$L$2:$L$1001))=0,"",SUMPRODUCT(MAX((Vérifications!$B$2:$B$1001=$A222)*Vérifications!$L$2:$L$1001))))</f>
      </c>
      <c r="F222" s="20">
        <f>IF($E222="","",IFERROR(INDEX(Vérifications!$E$2:$E$1001,MATCH($A222&amp;"|"&amp;$E222,Vérifications!$M$2:$M$1001,0)),""))</f>
      </c>
      <c r="G222" s="19">
        <f>IF($N222="","",IF(ISNUMBER($E222),EDATE($E222,$N222),IF(AND(ISNUMBER($U222),IFERROR(INDEX('Référentiel'!$E$2:$E$83,MATCH($C222,'Référentiel'!$A$2:$A$83,0)),0)&gt;0),EDATE($U222,IFERROR(INDEX('Référentiel'!$E$2:$E$83,MATCH($C222,'Référentiel'!$A$2:$A$83,0)),0)),"")))</f>
      </c>
      <c r="H222" s="21">
        <f>IF(ISNUMBER($G222),$G222-TODAY(),"")</f>
      </c>
      <c r="I222" s="20">
        <f>IF(AND($A222="",$C222=""),"",IF($T222="Non","Hors service",IF(AND($Q222="Location",ISNUMBER($R222),$R222&lt;TODAY()),"Location terminée",IF(OR($F222="Mise à l'arrêt",IF($A222="",0,SUMPRODUCT((Réserves!$B$2:$B$301=$A222)*(Réserves!$E$2:$E$301="Mise à l'arrêt")*(Réserves!$J$2:$J$301&lt;&gt;"Levée")*(Réserves!$J$2:$J$301&lt;&gt;"")))&gt;0),"Arrêt : réserve à lever",IF($C222="","Type à choisir",IF($N222="","Périodicité à saisir",IF(OR(ISTEXT($U222),ISTEXT($R222)),"Date à corriger",IF(AND($E222="",$Q222="Location",$S222&lt;&gt;"Oui"),"Rapport loueur à obtenir",IF(NOT(ISNUMBER($G222)),"Vérif. initiale à tracer",IF($H222&lt;0,"En retard",IF(AND($Q222="Location",$S222&lt;&gt;"Oui"),"Rapport loueur à obtenir",IF($H222&lt;='Tableau de bord'!$C$4,"À planifier","À jour"))))))))))))</f>
      </c>
      <c r="J222" s="22">
        <f>IF($A222="","",COUNTIFS(Réserves!$B$2:$B$301,$A222,Réserves!$J$2:$J$301,"Ouverte")+COUNTIFS(Réserves!$B$2:$B$301,$A222,Réserves!$J$2:$J$301,"En retard"))</f>
      </c>
      <c r="K222" s="20">
        <f>IF($C222="","",IFERROR(INDEX('Référentiel'!$B$2:$B$83,MATCH($C222,'Référentiel'!$A$2:$A$83,0)),"Type hors liste"))</f>
      </c>
      <c r="L222" s="22">
        <f>IF($C222="","",IF(IFERROR(INDEX('Référentiel'!$C$2:$C$83,MATCH($C222,'Référentiel'!$A$2:$A$83,0)),0)=0,"",IFERROR(INDEX('Référentiel'!$C$2:$C$83,MATCH($C222,'Référentiel'!$A$2:$A$83,0)),0)))</f>
      </c>
      <c r="M222" s="23"/>
      <c r="N222" s="22">
        <f>IF($C222="","",IF(IF($M222&lt;&gt;"",IF($L222&lt;&gt;"",MIN($L222,$M222),$M222),IF($L222&lt;&gt;"",$L222,IF(IFERROR(INDEX('Référentiel'!$D$2:$D$83,MATCH($C222,'Référentiel'!$A$2:$A$83,0)),0)&gt;0,IFERROR(INDEX('Référentiel'!$D$2:$D$83,MATCH($C222,'Référentiel'!$A$2:$A$83,0)),0),"")))="","",IF(AND(IFERROR(INDEX('Référentiel'!$F$2:$F$83,MATCH($C222,'Référentiel'!$A$2:$A$83,0)),0)&gt;0,N($J222)&gt;0),MIN(IF($M222&lt;&gt;"",IF($L222&lt;&gt;"",MIN($L222,$M222),$M222),IF($L222&lt;&gt;"",$L222,IF(IFERROR(INDEX('Référentiel'!$D$2:$D$83,MATCH($C222,'Référentiel'!$A$2:$A$83,0)),0)&gt;0,IFERROR(INDEX('Référentiel'!$D$2:$D$83,MATCH($C222,'Référentiel'!$A$2:$A$83,0)),0),""))),IFERROR(INDEX('Référentiel'!$F$2:$F$83,MATCH($C222,'Référentiel'!$A$2:$A$83,0)),0)),IF($M222&lt;&gt;"",IF($L222&lt;&gt;"",MIN($L222,$M222),$M222),IF($L222&lt;&gt;"",$L222,IF(IFERROR(INDEX('Référentiel'!$D$2:$D$83,MATCH($C222,'Référentiel'!$A$2:$A$83,0)),0)&gt;0,IFERROR(INDEX('Référentiel'!$D$2:$D$83,MATCH($C222,'Référentiel'!$A$2:$A$83,0)),0),""))))))</f>
      </c>
      <c r="O222" s="9"/>
      <c r="P222" s="23"/>
      <c r="Q222" s="9"/>
      <c r="R222" s="24"/>
      <c r="S222" s="23"/>
      <c r="T222" s="23"/>
      <c r="U222" s="24"/>
      <c r="V222" s="20">
        <f>IF($C222="","",IFERROR(INDEX('Référentiel'!$K$2:$K$83,MATCH($C222,'Référentiel'!$A$2:$A$83,0)),""))</f>
      </c>
      <c r="W222" s="20">
        <f>IF(AND(ISNUMBER($G222),$I222&lt;&gt;"Hors service",$I222&lt;&gt;"Location terminée"),$G222+ROW()/100000,"")</f>
      </c>
      <c r="X222" s="9"/>
    </row>
    <row r="223" spans="1:24" x14ac:dyDescent="0.25">
      <c r="A223" s="9"/>
      <c r="B223" s="9"/>
      <c r="C223" s="9"/>
      <c r="D223" s="9"/>
      <c r="E223" s="19">
        <f>IF($A223="","",IF(SUMPRODUCT(MAX((Vérifications!$B$2:$B$1001=$A223)*Vérifications!$L$2:$L$1001))=0,"",SUMPRODUCT(MAX((Vérifications!$B$2:$B$1001=$A223)*Vérifications!$L$2:$L$1001))))</f>
      </c>
      <c r="F223" s="20">
        <f>IF($E223="","",IFERROR(INDEX(Vérifications!$E$2:$E$1001,MATCH($A223&amp;"|"&amp;$E223,Vérifications!$M$2:$M$1001,0)),""))</f>
      </c>
      <c r="G223" s="19">
        <f>IF($N223="","",IF(ISNUMBER($E223),EDATE($E223,$N223),IF(AND(ISNUMBER($U223),IFERROR(INDEX('Référentiel'!$E$2:$E$83,MATCH($C223,'Référentiel'!$A$2:$A$83,0)),0)&gt;0),EDATE($U223,IFERROR(INDEX('Référentiel'!$E$2:$E$83,MATCH($C223,'Référentiel'!$A$2:$A$83,0)),0)),"")))</f>
      </c>
      <c r="H223" s="21">
        <f>IF(ISNUMBER($G223),$G223-TODAY(),"")</f>
      </c>
      <c r="I223" s="20">
        <f>IF(AND($A223="",$C223=""),"",IF($T223="Non","Hors service",IF(AND($Q223="Location",ISNUMBER($R223),$R223&lt;TODAY()),"Location terminée",IF(OR($F223="Mise à l'arrêt",IF($A223="",0,SUMPRODUCT((Réserves!$B$2:$B$301=$A223)*(Réserves!$E$2:$E$301="Mise à l'arrêt")*(Réserves!$J$2:$J$301&lt;&gt;"Levée")*(Réserves!$J$2:$J$301&lt;&gt;"")))&gt;0),"Arrêt : réserve à lever",IF($C223="","Type à choisir",IF($N223="","Périodicité à saisir",IF(OR(ISTEXT($U223),ISTEXT($R223)),"Date à corriger",IF(AND($E223="",$Q223="Location",$S223&lt;&gt;"Oui"),"Rapport loueur à obtenir",IF(NOT(ISNUMBER($G223)),"Vérif. initiale à tracer",IF($H223&lt;0,"En retard",IF(AND($Q223="Location",$S223&lt;&gt;"Oui"),"Rapport loueur à obtenir",IF($H223&lt;='Tableau de bord'!$C$4,"À planifier","À jour"))))))))))))</f>
      </c>
      <c r="J223" s="22">
        <f>IF($A223="","",COUNTIFS(Réserves!$B$2:$B$301,$A223,Réserves!$J$2:$J$301,"Ouverte")+COUNTIFS(Réserves!$B$2:$B$301,$A223,Réserves!$J$2:$J$301,"En retard"))</f>
      </c>
      <c r="K223" s="20">
        <f>IF($C223="","",IFERROR(INDEX('Référentiel'!$B$2:$B$83,MATCH($C223,'Référentiel'!$A$2:$A$83,0)),"Type hors liste"))</f>
      </c>
      <c r="L223" s="22">
        <f>IF($C223="","",IF(IFERROR(INDEX('Référentiel'!$C$2:$C$83,MATCH($C223,'Référentiel'!$A$2:$A$83,0)),0)=0,"",IFERROR(INDEX('Référentiel'!$C$2:$C$83,MATCH($C223,'Référentiel'!$A$2:$A$83,0)),0)))</f>
      </c>
      <c r="M223" s="23"/>
      <c r="N223" s="22">
        <f>IF($C223="","",IF(IF($M223&lt;&gt;"",IF($L223&lt;&gt;"",MIN($L223,$M223),$M223),IF($L223&lt;&gt;"",$L223,IF(IFERROR(INDEX('Référentiel'!$D$2:$D$83,MATCH($C223,'Référentiel'!$A$2:$A$83,0)),0)&gt;0,IFERROR(INDEX('Référentiel'!$D$2:$D$83,MATCH($C223,'Référentiel'!$A$2:$A$83,0)),0),"")))="","",IF(AND(IFERROR(INDEX('Référentiel'!$F$2:$F$83,MATCH($C223,'Référentiel'!$A$2:$A$83,0)),0)&gt;0,N($J223)&gt;0),MIN(IF($M223&lt;&gt;"",IF($L223&lt;&gt;"",MIN($L223,$M223),$M223),IF($L223&lt;&gt;"",$L223,IF(IFERROR(INDEX('Référentiel'!$D$2:$D$83,MATCH($C223,'Référentiel'!$A$2:$A$83,0)),0)&gt;0,IFERROR(INDEX('Référentiel'!$D$2:$D$83,MATCH($C223,'Référentiel'!$A$2:$A$83,0)),0),""))),IFERROR(INDEX('Référentiel'!$F$2:$F$83,MATCH($C223,'Référentiel'!$A$2:$A$83,0)),0)),IF($M223&lt;&gt;"",IF($L223&lt;&gt;"",MIN($L223,$M223),$M223),IF($L223&lt;&gt;"",$L223,IF(IFERROR(INDEX('Référentiel'!$D$2:$D$83,MATCH($C223,'Référentiel'!$A$2:$A$83,0)),0)&gt;0,IFERROR(INDEX('Référentiel'!$D$2:$D$83,MATCH($C223,'Référentiel'!$A$2:$A$83,0)),0),""))))))</f>
      </c>
      <c r="O223" s="9"/>
      <c r="P223" s="23"/>
      <c r="Q223" s="9"/>
      <c r="R223" s="24"/>
      <c r="S223" s="23"/>
      <c r="T223" s="23"/>
      <c r="U223" s="24"/>
      <c r="V223" s="20">
        <f>IF($C223="","",IFERROR(INDEX('Référentiel'!$K$2:$K$83,MATCH($C223,'Référentiel'!$A$2:$A$83,0)),""))</f>
      </c>
      <c r="W223" s="20">
        <f>IF(AND(ISNUMBER($G223),$I223&lt;&gt;"Hors service",$I223&lt;&gt;"Location terminée"),$G223+ROW()/100000,"")</f>
      </c>
      <c r="X223" s="9"/>
    </row>
    <row r="224" spans="1:24" x14ac:dyDescent="0.25">
      <c r="A224" s="9"/>
      <c r="B224" s="9"/>
      <c r="C224" s="9"/>
      <c r="D224" s="9"/>
      <c r="E224" s="19">
        <f>IF($A224="","",IF(SUMPRODUCT(MAX((Vérifications!$B$2:$B$1001=$A224)*Vérifications!$L$2:$L$1001))=0,"",SUMPRODUCT(MAX((Vérifications!$B$2:$B$1001=$A224)*Vérifications!$L$2:$L$1001))))</f>
      </c>
      <c r="F224" s="20">
        <f>IF($E224="","",IFERROR(INDEX(Vérifications!$E$2:$E$1001,MATCH($A224&amp;"|"&amp;$E224,Vérifications!$M$2:$M$1001,0)),""))</f>
      </c>
      <c r="G224" s="19">
        <f>IF($N224="","",IF(ISNUMBER($E224),EDATE($E224,$N224),IF(AND(ISNUMBER($U224),IFERROR(INDEX('Référentiel'!$E$2:$E$83,MATCH($C224,'Référentiel'!$A$2:$A$83,0)),0)&gt;0),EDATE($U224,IFERROR(INDEX('Référentiel'!$E$2:$E$83,MATCH($C224,'Référentiel'!$A$2:$A$83,0)),0)),"")))</f>
      </c>
      <c r="H224" s="21">
        <f>IF(ISNUMBER($G224),$G224-TODAY(),"")</f>
      </c>
      <c r="I224" s="20">
        <f>IF(AND($A224="",$C224=""),"",IF($T224="Non","Hors service",IF(AND($Q224="Location",ISNUMBER($R224),$R224&lt;TODAY()),"Location terminée",IF(OR($F224="Mise à l'arrêt",IF($A224="",0,SUMPRODUCT((Réserves!$B$2:$B$301=$A224)*(Réserves!$E$2:$E$301="Mise à l'arrêt")*(Réserves!$J$2:$J$301&lt;&gt;"Levée")*(Réserves!$J$2:$J$301&lt;&gt;"")))&gt;0),"Arrêt : réserve à lever",IF($C224="","Type à choisir",IF($N224="","Périodicité à saisir",IF(OR(ISTEXT($U224),ISTEXT($R224)),"Date à corriger",IF(AND($E224="",$Q224="Location",$S224&lt;&gt;"Oui"),"Rapport loueur à obtenir",IF(NOT(ISNUMBER($G224)),"Vérif. initiale à tracer",IF($H224&lt;0,"En retard",IF(AND($Q224="Location",$S224&lt;&gt;"Oui"),"Rapport loueur à obtenir",IF($H224&lt;='Tableau de bord'!$C$4,"À planifier","À jour"))))))))))))</f>
      </c>
      <c r="J224" s="22">
        <f>IF($A224="","",COUNTIFS(Réserves!$B$2:$B$301,$A224,Réserves!$J$2:$J$301,"Ouverte")+COUNTIFS(Réserves!$B$2:$B$301,$A224,Réserves!$J$2:$J$301,"En retard"))</f>
      </c>
      <c r="K224" s="20">
        <f>IF($C224="","",IFERROR(INDEX('Référentiel'!$B$2:$B$83,MATCH($C224,'Référentiel'!$A$2:$A$83,0)),"Type hors liste"))</f>
      </c>
      <c r="L224" s="22">
        <f>IF($C224="","",IF(IFERROR(INDEX('Référentiel'!$C$2:$C$83,MATCH($C224,'Référentiel'!$A$2:$A$83,0)),0)=0,"",IFERROR(INDEX('Référentiel'!$C$2:$C$83,MATCH($C224,'Référentiel'!$A$2:$A$83,0)),0)))</f>
      </c>
      <c r="M224" s="23"/>
      <c r="N224" s="22">
        <f>IF($C224="","",IF(IF($M224&lt;&gt;"",IF($L224&lt;&gt;"",MIN($L224,$M224),$M224),IF($L224&lt;&gt;"",$L224,IF(IFERROR(INDEX('Référentiel'!$D$2:$D$83,MATCH($C224,'Référentiel'!$A$2:$A$83,0)),0)&gt;0,IFERROR(INDEX('Référentiel'!$D$2:$D$83,MATCH($C224,'Référentiel'!$A$2:$A$83,0)),0),"")))="","",IF(AND(IFERROR(INDEX('Référentiel'!$F$2:$F$83,MATCH($C224,'Référentiel'!$A$2:$A$83,0)),0)&gt;0,N($J224)&gt;0),MIN(IF($M224&lt;&gt;"",IF($L224&lt;&gt;"",MIN($L224,$M224),$M224),IF($L224&lt;&gt;"",$L224,IF(IFERROR(INDEX('Référentiel'!$D$2:$D$83,MATCH($C224,'Référentiel'!$A$2:$A$83,0)),0)&gt;0,IFERROR(INDEX('Référentiel'!$D$2:$D$83,MATCH($C224,'Référentiel'!$A$2:$A$83,0)),0),""))),IFERROR(INDEX('Référentiel'!$F$2:$F$83,MATCH($C224,'Référentiel'!$A$2:$A$83,0)),0)),IF($M224&lt;&gt;"",IF($L224&lt;&gt;"",MIN($L224,$M224),$M224),IF($L224&lt;&gt;"",$L224,IF(IFERROR(INDEX('Référentiel'!$D$2:$D$83,MATCH($C224,'Référentiel'!$A$2:$A$83,0)),0)&gt;0,IFERROR(INDEX('Référentiel'!$D$2:$D$83,MATCH($C224,'Référentiel'!$A$2:$A$83,0)),0),""))))))</f>
      </c>
      <c r="O224" s="9"/>
      <c r="P224" s="23"/>
      <c r="Q224" s="9"/>
      <c r="R224" s="24"/>
      <c r="S224" s="23"/>
      <c r="T224" s="23"/>
      <c r="U224" s="24"/>
      <c r="V224" s="20">
        <f>IF($C224="","",IFERROR(INDEX('Référentiel'!$K$2:$K$83,MATCH($C224,'Référentiel'!$A$2:$A$83,0)),""))</f>
      </c>
      <c r="W224" s="20">
        <f>IF(AND(ISNUMBER($G224),$I224&lt;&gt;"Hors service",$I224&lt;&gt;"Location terminée"),$G224+ROW()/100000,"")</f>
      </c>
      <c r="X224" s="9"/>
    </row>
    <row r="225" spans="1:24" x14ac:dyDescent="0.25">
      <c r="A225" s="9"/>
      <c r="B225" s="9"/>
      <c r="C225" s="9"/>
      <c r="D225" s="9"/>
      <c r="E225" s="19">
        <f>IF($A225="","",IF(SUMPRODUCT(MAX((Vérifications!$B$2:$B$1001=$A225)*Vérifications!$L$2:$L$1001))=0,"",SUMPRODUCT(MAX((Vérifications!$B$2:$B$1001=$A225)*Vérifications!$L$2:$L$1001))))</f>
      </c>
      <c r="F225" s="20">
        <f>IF($E225="","",IFERROR(INDEX(Vérifications!$E$2:$E$1001,MATCH($A225&amp;"|"&amp;$E225,Vérifications!$M$2:$M$1001,0)),""))</f>
      </c>
      <c r="G225" s="19">
        <f>IF($N225="","",IF(ISNUMBER($E225),EDATE($E225,$N225),IF(AND(ISNUMBER($U225),IFERROR(INDEX('Référentiel'!$E$2:$E$83,MATCH($C225,'Référentiel'!$A$2:$A$83,0)),0)&gt;0),EDATE($U225,IFERROR(INDEX('Référentiel'!$E$2:$E$83,MATCH($C225,'Référentiel'!$A$2:$A$83,0)),0)),"")))</f>
      </c>
      <c r="H225" s="21">
        <f>IF(ISNUMBER($G225),$G225-TODAY(),"")</f>
      </c>
      <c r="I225" s="20">
        <f>IF(AND($A225="",$C225=""),"",IF($T225="Non","Hors service",IF(AND($Q225="Location",ISNUMBER($R225),$R225&lt;TODAY()),"Location terminée",IF(OR($F225="Mise à l'arrêt",IF($A225="",0,SUMPRODUCT((Réserves!$B$2:$B$301=$A225)*(Réserves!$E$2:$E$301="Mise à l'arrêt")*(Réserves!$J$2:$J$301&lt;&gt;"Levée")*(Réserves!$J$2:$J$301&lt;&gt;"")))&gt;0),"Arrêt : réserve à lever",IF($C225="","Type à choisir",IF($N225="","Périodicité à saisir",IF(OR(ISTEXT($U225),ISTEXT($R225)),"Date à corriger",IF(AND($E225="",$Q225="Location",$S225&lt;&gt;"Oui"),"Rapport loueur à obtenir",IF(NOT(ISNUMBER($G225)),"Vérif. initiale à tracer",IF($H225&lt;0,"En retard",IF(AND($Q225="Location",$S225&lt;&gt;"Oui"),"Rapport loueur à obtenir",IF($H225&lt;='Tableau de bord'!$C$4,"À planifier","À jour"))))))))))))</f>
      </c>
      <c r="J225" s="22">
        <f>IF($A225="","",COUNTIFS(Réserves!$B$2:$B$301,$A225,Réserves!$J$2:$J$301,"Ouverte")+COUNTIFS(Réserves!$B$2:$B$301,$A225,Réserves!$J$2:$J$301,"En retard"))</f>
      </c>
      <c r="K225" s="20">
        <f>IF($C225="","",IFERROR(INDEX('Référentiel'!$B$2:$B$83,MATCH($C225,'Référentiel'!$A$2:$A$83,0)),"Type hors liste"))</f>
      </c>
      <c r="L225" s="22">
        <f>IF($C225="","",IF(IFERROR(INDEX('Référentiel'!$C$2:$C$83,MATCH($C225,'Référentiel'!$A$2:$A$83,0)),0)=0,"",IFERROR(INDEX('Référentiel'!$C$2:$C$83,MATCH($C225,'Référentiel'!$A$2:$A$83,0)),0)))</f>
      </c>
      <c r="M225" s="23"/>
      <c r="N225" s="22">
        <f>IF($C225="","",IF(IF($M225&lt;&gt;"",IF($L225&lt;&gt;"",MIN($L225,$M225),$M225),IF($L225&lt;&gt;"",$L225,IF(IFERROR(INDEX('Référentiel'!$D$2:$D$83,MATCH($C225,'Référentiel'!$A$2:$A$83,0)),0)&gt;0,IFERROR(INDEX('Référentiel'!$D$2:$D$83,MATCH($C225,'Référentiel'!$A$2:$A$83,0)),0),"")))="","",IF(AND(IFERROR(INDEX('Référentiel'!$F$2:$F$83,MATCH($C225,'Référentiel'!$A$2:$A$83,0)),0)&gt;0,N($J225)&gt;0),MIN(IF($M225&lt;&gt;"",IF($L225&lt;&gt;"",MIN($L225,$M225),$M225),IF($L225&lt;&gt;"",$L225,IF(IFERROR(INDEX('Référentiel'!$D$2:$D$83,MATCH($C225,'Référentiel'!$A$2:$A$83,0)),0)&gt;0,IFERROR(INDEX('Référentiel'!$D$2:$D$83,MATCH($C225,'Référentiel'!$A$2:$A$83,0)),0),""))),IFERROR(INDEX('Référentiel'!$F$2:$F$83,MATCH($C225,'Référentiel'!$A$2:$A$83,0)),0)),IF($M225&lt;&gt;"",IF($L225&lt;&gt;"",MIN($L225,$M225),$M225),IF($L225&lt;&gt;"",$L225,IF(IFERROR(INDEX('Référentiel'!$D$2:$D$83,MATCH($C225,'Référentiel'!$A$2:$A$83,0)),0)&gt;0,IFERROR(INDEX('Référentiel'!$D$2:$D$83,MATCH($C225,'Référentiel'!$A$2:$A$83,0)),0),""))))))</f>
      </c>
      <c r="O225" s="9"/>
      <c r="P225" s="23"/>
      <c r="Q225" s="9"/>
      <c r="R225" s="24"/>
      <c r="S225" s="23"/>
      <c r="T225" s="23"/>
      <c r="U225" s="24"/>
      <c r="V225" s="20">
        <f>IF($C225="","",IFERROR(INDEX('Référentiel'!$K$2:$K$83,MATCH($C225,'Référentiel'!$A$2:$A$83,0)),""))</f>
      </c>
      <c r="W225" s="20">
        <f>IF(AND(ISNUMBER($G225),$I225&lt;&gt;"Hors service",$I225&lt;&gt;"Location terminée"),$G225+ROW()/100000,"")</f>
      </c>
      <c r="X225" s="9"/>
    </row>
    <row r="226" spans="1:24" x14ac:dyDescent="0.25">
      <c r="A226" s="9"/>
      <c r="B226" s="9"/>
      <c r="C226" s="9"/>
      <c r="D226" s="9"/>
      <c r="E226" s="19">
        <f>IF($A226="","",IF(SUMPRODUCT(MAX((Vérifications!$B$2:$B$1001=$A226)*Vérifications!$L$2:$L$1001))=0,"",SUMPRODUCT(MAX((Vérifications!$B$2:$B$1001=$A226)*Vérifications!$L$2:$L$1001))))</f>
      </c>
      <c r="F226" s="20">
        <f>IF($E226="","",IFERROR(INDEX(Vérifications!$E$2:$E$1001,MATCH($A226&amp;"|"&amp;$E226,Vérifications!$M$2:$M$1001,0)),""))</f>
      </c>
      <c r="G226" s="19">
        <f>IF($N226="","",IF(ISNUMBER($E226),EDATE($E226,$N226),IF(AND(ISNUMBER($U226),IFERROR(INDEX('Référentiel'!$E$2:$E$83,MATCH($C226,'Référentiel'!$A$2:$A$83,0)),0)&gt;0),EDATE($U226,IFERROR(INDEX('Référentiel'!$E$2:$E$83,MATCH($C226,'Référentiel'!$A$2:$A$83,0)),0)),"")))</f>
      </c>
      <c r="H226" s="21">
        <f>IF(ISNUMBER($G226),$G226-TODAY(),"")</f>
      </c>
      <c r="I226" s="20">
        <f>IF(AND($A226="",$C226=""),"",IF($T226="Non","Hors service",IF(AND($Q226="Location",ISNUMBER($R226),$R226&lt;TODAY()),"Location terminée",IF(OR($F226="Mise à l'arrêt",IF($A226="",0,SUMPRODUCT((Réserves!$B$2:$B$301=$A226)*(Réserves!$E$2:$E$301="Mise à l'arrêt")*(Réserves!$J$2:$J$301&lt;&gt;"Levée")*(Réserves!$J$2:$J$301&lt;&gt;"")))&gt;0),"Arrêt : réserve à lever",IF($C226="","Type à choisir",IF($N226="","Périodicité à saisir",IF(OR(ISTEXT($U226),ISTEXT($R226)),"Date à corriger",IF(AND($E226="",$Q226="Location",$S226&lt;&gt;"Oui"),"Rapport loueur à obtenir",IF(NOT(ISNUMBER($G226)),"Vérif. initiale à tracer",IF($H226&lt;0,"En retard",IF(AND($Q226="Location",$S226&lt;&gt;"Oui"),"Rapport loueur à obtenir",IF($H226&lt;='Tableau de bord'!$C$4,"À planifier","À jour"))))))))))))</f>
      </c>
      <c r="J226" s="22">
        <f>IF($A226="","",COUNTIFS(Réserves!$B$2:$B$301,$A226,Réserves!$J$2:$J$301,"Ouverte")+COUNTIFS(Réserves!$B$2:$B$301,$A226,Réserves!$J$2:$J$301,"En retard"))</f>
      </c>
      <c r="K226" s="20">
        <f>IF($C226="","",IFERROR(INDEX('Référentiel'!$B$2:$B$83,MATCH($C226,'Référentiel'!$A$2:$A$83,0)),"Type hors liste"))</f>
      </c>
      <c r="L226" s="22">
        <f>IF($C226="","",IF(IFERROR(INDEX('Référentiel'!$C$2:$C$83,MATCH($C226,'Référentiel'!$A$2:$A$83,0)),0)=0,"",IFERROR(INDEX('Référentiel'!$C$2:$C$83,MATCH($C226,'Référentiel'!$A$2:$A$83,0)),0)))</f>
      </c>
      <c r="M226" s="23"/>
      <c r="N226" s="22">
        <f>IF($C226="","",IF(IF($M226&lt;&gt;"",IF($L226&lt;&gt;"",MIN($L226,$M226),$M226),IF($L226&lt;&gt;"",$L226,IF(IFERROR(INDEX('Référentiel'!$D$2:$D$83,MATCH($C226,'Référentiel'!$A$2:$A$83,0)),0)&gt;0,IFERROR(INDEX('Référentiel'!$D$2:$D$83,MATCH($C226,'Référentiel'!$A$2:$A$83,0)),0),"")))="","",IF(AND(IFERROR(INDEX('Référentiel'!$F$2:$F$83,MATCH($C226,'Référentiel'!$A$2:$A$83,0)),0)&gt;0,N($J226)&gt;0),MIN(IF($M226&lt;&gt;"",IF($L226&lt;&gt;"",MIN($L226,$M226),$M226),IF($L226&lt;&gt;"",$L226,IF(IFERROR(INDEX('Référentiel'!$D$2:$D$83,MATCH($C226,'Référentiel'!$A$2:$A$83,0)),0)&gt;0,IFERROR(INDEX('Référentiel'!$D$2:$D$83,MATCH($C226,'Référentiel'!$A$2:$A$83,0)),0),""))),IFERROR(INDEX('Référentiel'!$F$2:$F$83,MATCH($C226,'Référentiel'!$A$2:$A$83,0)),0)),IF($M226&lt;&gt;"",IF($L226&lt;&gt;"",MIN($L226,$M226),$M226),IF($L226&lt;&gt;"",$L226,IF(IFERROR(INDEX('Référentiel'!$D$2:$D$83,MATCH($C226,'Référentiel'!$A$2:$A$83,0)),0)&gt;0,IFERROR(INDEX('Référentiel'!$D$2:$D$83,MATCH($C226,'Référentiel'!$A$2:$A$83,0)),0),""))))))</f>
      </c>
      <c r="O226" s="9"/>
      <c r="P226" s="23"/>
      <c r="Q226" s="9"/>
      <c r="R226" s="24"/>
      <c r="S226" s="23"/>
      <c r="T226" s="23"/>
      <c r="U226" s="24"/>
      <c r="V226" s="20">
        <f>IF($C226="","",IFERROR(INDEX('Référentiel'!$K$2:$K$83,MATCH($C226,'Référentiel'!$A$2:$A$83,0)),""))</f>
      </c>
      <c r="W226" s="20">
        <f>IF(AND(ISNUMBER($G226),$I226&lt;&gt;"Hors service",$I226&lt;&gt;"Location terminée"),$G226+ROW()/100000,"")</f>
      </c>
      <c r="X226" s="9"/>
    </row>
    <row r="227" spans="1:24" x14ac:dyDescent="0.25">
      <c r="A227" s="9"/>
      <c r="B227" s="9"/>
      <c r="C227" s="9"/>
      <c r="D227" s="9"/>
      <c r="E227" s="19">
        <f>IF($A227="","",IF(SUMPRODUCT(MAX((Vérifications!$B$2:$B$1001=$A227)*Vérifications!$L$2:$L$1001))=0,"",SUMPRODUCT(MAX((Vérifications!$B$2:$B$1001=$A227)*Vérifications!$L$2:$L$1001))))</f>
      </c>
      <c r="F227" s="20">
        <f>IF($E227="","",IFERROR(INDEX(Vérifications!$E$2:$E$1001,MATCH($A227&amp;"|"&amp;$E227,Vérifications!$M$2:$M$1001,0)),""))</f>
      </c>
      <c r="G227" s="19">
        <f>IF($N227="","",IF(ISNUMBER($E227),EDATE($E227,$N227),IF(AND(ISNUMBER($U227),IFERROR(INDEX('Référentiel'!$E$2:$E$83,MATCH($C227,'Référentiel'!$A$2:$A$83,0)),0)&gt;0),EDATE($U227,IFERROR(INDEX('Référentiel'!$E$2:$E$83,MATCH($C227,'Référentiel'!$A$2:$A$83,0)),0)),"")))</f>
      </c>
      <c r="H227" s="21">
        <f>IF(ISNUMBER($G227),$G227-TODAY(),"")</f>
      </c>
      <c r="I227" s="20">
        <f>IF(AND($A227="",$C227=""),"",IF($T227="Non","Hors service",IF(AND($Q227="Location",ISNUMBER($R227),$R227&lt;TODAY()),"Location terminée",IF(OR($F227="Mise à l'arrêt",IF($A227="",0,SUMPRODUCT((Réserves!$B$2:$B$301=$A227)*(Réserves!$E$2:$E$301="Mise à l'arrêt")*(Réserves!$J$2:$J$301&lt;&gt;"Levée")*(Réserves!$J$2:$J$301&lt;&gt;"")))&gt;0),"Arrêt : réserve à lever",IF($C227="","Type à choisir",IF($N227="","Périodicité à saisir",IF(OR(ISTEXT($U227),ISTEXT($R227)),"Date à corriger",IF(AND($E227="",$Q227="Location",$S227&lt;&gt;"Oui"),"Rapport loueur à obtenir",IF(NOT(ISNUMBER($G227)),"Vérif. initiale à tracer",IF($H227&lt;0,"En retard",IF(AND($Q227="Location",$S227&lt;&gt;"Oui"),"Rapport loueur à obtenir",IF($H227&lt;='Tableau de bord'!$C$4,"À planifier","À jour"))))))))))))</f>
      </c>
      <c r="J227" s="22">
        <f>IF($A227="","",COUNTIFS(Réserves!$B$2:$B$301,$A227,Réserves!$J$2:$J$301,"Ouverte")+COUNTIFS(Réserves!$B$2:$B$301,$A227,Réserves!$J$2:$J$301,"En retard"))</f>
      </c>
      <c r="K227" s="20">
        <f>IF($C227="","",IFERROR(INDEX('Référentiel'!$B$2:$B$83,MATCH($C227,'Référentiel'!$A$2:$A$83,0)),"Type hors liste"))</f>
      </c>
      <c r="L227" s="22">
        <f>IF($C227="","",IF(IFERROR(INDEX('Référentiel'!$C$2:$C$83,MATCH($C227,'Référentiel'!$A$2:$A$83,0)),0)=0,"",IFERROR(INDEX('Référentiel'!$C$2:$C$83,MATCH($C227,'Référentiel'!$A$2:$A$83,0)),0)))</f>
      </c>
      <c r="M227" s="23"/>
      <c r="N227" s="22">
        <f>IF($C227="","",IF(IF($M227&lt;&gt;"",IF($L227&lt;&gt;"",MIN($L227,$M227),$M227),IF($L227&lt;&gt;"",$L227,IF(IFERROR(INDEX('Référentiel'!$D$2:$D$83,MATCH($C227,'Référentiel'!$A$2:$A$83,0)),0)&gt;0,IFERROR(INDEX('Référentiel'!$D$2:$D$83,MATCH($C227,'Référentiel'!$A$2:$A$83,0)),0),"")))="","",IF(AND(IFERROR(INDEX('Référentiel'!$F$2:$F$83,MATCH($C227,'Référentiel'!$A$2:$A$83,0)),0)&gt;0,N($J227)&gt;0),MIN(IF($M227&lt;&gt;"",IF($L227&lt;&gt;"",MIN($L227,$M227),$M227),IF($L227&lt;&gt;"",$L227,IF(IFERROR(INDEX('Référentiel'!$D$2:$D$83,MATCH($C227,'Référentiel'!$A$2:$A$83,0)),0)&gt;0,IFERROR(INDEX('Référentiel'!$D$2:$D$83,MATCH($C227,'Référentiel'!$A$2:$A$83,0)),0),""))),IFERROR(INDEX('Référentiel'!$F$2:$F$83,MATCH($C227,'Référentiel'!$A$2:$A$83,0)),0)),IF($M227&lt;&gt;"",IF($L227&lt;&gt;"",MIN($L227,$M227),$M227),IF($L227&lt;&gt;"",$L227,IF(IFERROR(INDEX('Référentiel'!$D$2:$D$83,MATCH($C227,'Référentiel'!$A$2:$A$83,0)),0)&gt;0,IFERROR(INDEX('Référentiel'!$D$2:$D$83,MATCH($C227,'Référentiel'!$A$2:$A$83,0)),0),""))))))</f>
      </c>
      <c r="O227" s="9"/>
      <c r="P227" s="23"/>
      <c r="Q227" s="9"/>
      <c r="R227" s="24"/>
      <c r="S227" s="23"/>
      <c r="T227" s="23"/>
      <c r="U227" s="24"/>
      <c r="V227" s="20">
        <f>IF($C227="","",IFERROR(INDEX('Référentiel'!$K$2:$K$83,MATCH($C227,'Référentiel'!$A$2:$A$83,0)),""))</f>
      </c>
      <c r="W227" s="20">
        <f>IF(AND(ISNUMBER($G227),$I227&lt;&gt;"Hors service",$I227&lt;&gt;"Location terminée"),$G227+ROW()/100000,"")</f>
      </c>
      <c r="X227" s="9"/>
    </row>
    <row r="228" spans="1:24" x14ac:dyDescent="0.25">
      <c r="A228" s="9"/>
      <c r="B228" s="9"/>
      <c r="C228" s="9"/>
      <c r="D228" s="9"/>
      <c r="E228" s="19">
        <f>IF($A228="","",IF(SUMPRODUCT(MAX((Vérifications!$B$2:$B$1001=$A228)*Vérifications!$L$2:$L$1001))=0,"",SUMPRODUCT(MAX((Vérifications!$B$2:$B$1001=$A228)*Vérifications!$L$2:$L$1001))))</f>
      </c>
      <c r="F228" s="20">
        <f>IF($E228="","",IFERROR(INDEX(Vérifications!$E$2:$E$1001,MATCH($A228&amp;"|"&amp;$E228,Vérifications!$M$2:$M$1001,0)),""))</f>
      </c>
      <c r="G228" s="19">
        <f>IF($N228="","",IF(ISNUMBER($E228),EDATE($E228,$N228),IF(AND(ISNUMBER($U228),IFERROR(INDEX('Référentiel'!$E$2:$E$83,MATCH($C228,'Référentiel'!$A$2:$A$83,0)),0)&gt;0),EDATE($U228,IFERROR(INDEX('Référentiel'!$E$2:$E$83,MATCH($C228,'Référentiel'!$A$2:$A$83,0)),0)),"")))</f>
      </c>
      <c r="H228" s="21">
        <f>IF(ISNUMBER($G228),$G228-TODAY(),"")</f>
      </c>
      <c r="I228" s="20">
        <f>IF(AND($A228="",$C228=""),"",IF($T228="Non","Hors service",IF(AND($Q228="Location",ISNUMBER($R228),$R228&lt;TODAY()),"Location terminée",IF(OR($F228="Mise à l'arrêt",IF($A228="",0,SUMPRODUCT((Réserves!$B$2:$B$301=$A228)*(Réserves!$E$2:$E$301="Mise à l'arrêt")*(Réserves!$J$2:$J$301&lt;&gt;"Levée")*(Réserves!$J$2:$J$301&lt;&gt;"")))&gt;0),"Arrêt : réserve à lever",IF($C228="","Type à choisir",IF($N228="","Périodicité à saisir",IF(OR(ISTEXT($U228),ISTEXT($R228)),"Date à corriger",IF(AND($E228="",$Q228="Location",$S228&lt;&gt;"Oui"),"Rapport loueur à obtenir",IF(NOT(ISNUMBER($G228)),"Vérif. initiale à tracer",IF($H228&lt;0,"En retard",IF(AND($Q228="Location",$S228&lt;&gt;"Oui"),"Rapport loueur à obtenir",IF($H228&lt;='Tableau de bord'!$C$4,"À planifier","À jour"))))))))))))</f>
      </c>
      <c r="J228" s="22">
        <f>IF($A228="","",COUNTIFS(Réserves!$B$2:$B$301,$A228,Réserves!$J$2:$J$301,"Ouverte")+COUNTIFS(Réserves!$B$2:$B$301,$A228,Réserves!$J$2:$J$301,"En retard"))</f>
      </c>
      <c r="K228" s="20">
        <f>IF($C228="","",IFERROR(INDEX('Référentiel'!$B$2:$B$83,MATCH($C228,'Référentiel'!$A$2:$A$83,0)),"Type hors liste"))</f>
      </c>
      <c r="L228" s="22">
        <f>IF($C228="","",IF(IFERROR(INDEX('Référentiel'!$C$2:$C$83,MATCH($C228,'Référentiel'!$A$2:$A$83,0)),0)=0,"",IFERROR(INDEX('Référentiel'!$C$2:$C$83,MATCH($C228,'Référentiel'!$A$2:$A$83,0)),0)))</f>
      </c>
      <c r="M228" s="23"/>
      <c r="N228" s="22">
        <f>IF($C228="","",IF(IF($M228&lt;&gt;"",IF($L228&lt;&gt;"",MIN($L228,$M228),$M228),IF($L228&lt;&gt;"",$L228,IF(IFERROR(INDEX('Référentiel'!$D$2:$D$83,MATCH($C228,'Référentiel'!$A$2:$A$83,0)),0)&gt;0,IFERROR(INDEX('Référentiel'!$D$2:$D$83,MATCH($C228,'Référentiel'!$A$2:$A$83,0)),0),"")))="","",IF(AND(IFERROR(INDEX('Référentiel'!$F$2:$F$83,MATCH($C228,'Référentiel'!$A$2:$A$83,0)),0)&gt;0,N($J228)&gt;0),MIN(IF($M228&lt;&gt;"",IF($L228&lt;&gt;"",MIN($L228,$M228),$M228),IF($L228&lt;&gt;"",$L228,IF(IFERROR(INDEX('Référentiel'!$D$2:$D$83,MATCH($C228,'Référentiel'!$A$2:$A$83,0)),0)&gt;0,IFERROR(INDEX('Référentiel'!$D$2:$D$83,MATCH($C228,'Référentiel'!$A$2:$A$83,0)),0),""))),IFERROR(INDEX('Référentiel'!$F$2:$F$83,MATCH($C228,'Référentiel'!$A$2:$A$83,0)),0)),IF($M228&lt;&gt;"",IF($L228&lt;&gt;"",MIN($L228,$M228),$M228),IF($L228&lt;&gt;"",$L228,IF(IFERROR(INDEX('Référentiel'!$D$2:$D$83,MATCH($C228,'Référentiel'!$A$2:$A$83,0)),0)&gt;0,IFERROR(INDEX('Référentiel'!$D$2:$D$83,MATCH($C228,'Référentiel'!$A$2:$A$83,0)),0),""))))))</f>
      </c>
      <c r="O228" s="9"/>
      <c r="P228" s="23"/>
      <c r="Q228" s="9"/>
      <c r="R228" s="24"/>
      <c r="S228" s="23"/>
      <c r="T228" s="23"/>
      <c r="U228" s="24"/>
      <c r="V228" s="20">
        <f>IF($C228="","",IFERROR(INDEX('Référentiel'!$K$2:$K$83,MATCH($C228,'Référentiel'!$A$2:$A$83,0)),""))</f>
      </c>
      <c r="W228" s="20">
        <f>IF(AND(ISNUMBER($G228),$I228&lt;&gt;"Hors service",$I228&lt;&gt;"Location terminée"),$G228+ROW()/100000,"")</f>
      </c>
      <c r="X228" s="9"/>
    </row>
    <row r="229" spans="1:24" x14ac:dyDescent="0.25">
      <c r="A229" s="9"/>
      <c r="B229" s="9"/>
      <c r="C229" s="9"/>
      <c r="D229" s="9"/>
      <c r="E229" s="19">
        <f>IF($A229="","",IF(SUMPRODUCT(MAX((Vérifications!$B$2:$B$1001=$A229)*Vérifications!$L$2:$L$1001))=0,"",SUMPRODUCT(MAX((Vérifications!$B$2:$B$1001=$A229)*Vérifications!$L$2:$L$1001))))</f>
      </c>
      <c r="F229" s="20">
        <f>IF($E229="","",IFERROR(INDEX(Vérifications!$E$2:$E$1001,MATCH($A229&amp;"|"&amp;$E229,Vérifications!$M$2:$M$1001,0)),""))</f>
      </c>
      <c r="G229" s="19">
        <f>IF($N229="","",IF(ISNUMBER($E229),EDATE($E229,$N229),IF(AND(ISNUMBER($U229),IFERROR(INDEX('Référentiel'!$E$2:$E$83,MATCH($C229,'Référentiel'!$A$2:$A$83,0)),0)&gt;0),EDATE($U229,IFERROR(INDEX('Référentiel'!$E$2:$E$83,MATCH($C229,'Référentiel'!$A$2:$A$83,0)),0)),"")))</f>
      </c>
      <c r="H229" s="21">
        <f>IF(ISNUMBER($G229),$G229-TODAY(),"")</f>
      </c>
      <c r="I229" s="20">
        <f>IF(AND($A229="",$C229=""),"",IF($T229="Non","Hors service",IF(AND($Q229="Location",ISNUMBER($R229),$R229&lt;TODAY()),"Location terminée",IF(OR($F229="Mise à l'arrêt",IF($A229="",0,SUMPRODUCT((Réserves!$B$2:$B$301=$A229)*(Réserves!$E$2:$E$301="Mise à l'arrêt")*(Réserves!$J$2:$J$301&lt;&gt;"Levée")*(Réserves!$J$2:$J$301&lt;&gt;"")))&gt;0),"Arrêt : réserve à lever",IF($C229="","Type à choisir",IF($N229="","Périodicité à saisir",IF(OR(ISTEXT($U229),ISTEXT($R229)),"Date à corriger",IF(AND($E229="",$Q229="Location",$S229&lt;&gt;"Oui"),"Rapport loueur à obtenir",IF(NOT(ISNUMBER($G229)),"Vérif. initiale à tracer",IF($H229&lt;0,"En retard",IF(AND($Q229="Location",$S229&lt;&gt;"Oui"),"Rapport loueur à obtenir",IF($H229&lt;='Tableau de bord'!$C$4,"À planifier","À jour"))))))))))))</f>
      </c>
      <c r="J229" s="22">
        <f>IF($A229="","",COUNTIFS(Réserves!$B$2:$B$301,$A229,Réserves!$J$2:$J$301,"Ouverte")+COUNTIFS(Réserves!$B$2:$B$301,$A229,Réserves!$J$2:$J$301,"En retard"))</f>
      </c>
      <c r="K229" s="20">
        <f>IF($C229="","",IFERROR(INDEX('Référentiel'!$B$2:$B$83,MATCH($C229,'Référentiel'!$A$2:$A$83,0)),"Type hors liste"))</f>
      </c>
      <c r="L229" s="22">
        <f>IF($C229="","",IF(IFERROR(INDEX('Référentiel'!$C$2:$C$83,MATCH($C229,'Référentiel'!$A$2:$A$83,0)),0)=0,"",IFERROR(INDEX('Référentiel'!$C$2:$C$83,MATCH($C229,'Référentiel'!$A$2:$A$83,0)),0)))</f>
      </c>
      <c r="M229" s="23"/>
      <c r="N229" s="22">
        <f>IF($C229="","",IF(IF($M229&lt;&gt;"",IF($L229&lt;&gt;"",MIN($L229,$M229),$M229),IF($L229&lt;&gt;"",$L229,IF(IFERROR(INDEX('Référentiel'!$D$2:$D$83,MATCH($C229,'Référentiel'!$A$2:$A$83,0)),0)&gt;0,IFERROR(INDEX('Référentiel'!$D$2:$D$83,MATCH($C229,'Référentiel'!$A$2:$A$83,0)),0),"")))="","",IF(AND(IFERROR(INDEX('Référentiel'!$F$2:$F$83,MATCH($C229,'Référentiel'!$A$2:$A$83,0)),0)&gt;0,N($J229)&gt;0),MIN(IF($M229&lt;&gt;"",IF($L229&lt;&gt;"",MIN($L229,$M229),$M229),IF($L229&lt;&gt;"",$L229,IF(IFERROR(INDEX('Référentiel'!$D$2:$D$83,MATCH($C229,'Référentiel'!$A$2:$A$83,0)),0)&gt;0,IFERROR(INDEX('Référentiel'!$D$2:$D$83,MATCH($C229,'Référentiel'!$A$2:$A$83,0)),0),""))),IFERROR(INDEX('Référentiel'!$F$2:$F$83,MATCH($C229,'Référentiel'!$A$2:$A$83,0)),0)),IF($M229&lt;&gt;"",IF($L229&lt;&gt;"",MIN($L229,$M229),$M229),IF($L229&lt;&gt;"",$L229,IF(IFERROR(INDEX('Référentiel'!$D$2:$D$83,MATCH($C229,'Référentiel'!$A$2:$A$83,0)),0)&gt;0,IFERROR(INDEX('Référentiel'!$D$2:$D$83,MATCH($C229,'Référentiel'!$A$2:$A$83,0)),0),""))))))</f>
      </c>
      <c r="O229" s="9"/>
      <c r="P229" s="23"/>
      <c r="Q229" s="9"/>
      <c r="R229" s="24"/>
      <c r="S229" s="23"/>
      <c r="T229" s="23"/>
      <c r="U229" s="24"/>
      <c r="V229" s="20">
        <f>IF($C229="","",IFERROR(INDEX('Référentiel'!$K$2:$K$83,MATCH($C229,'Référentiel'!$A$2:$A$83,0)),""))</f>
      </c>
      <c r="W229" s="20">
        <f>IF(AND(ISNUMBER($G229),$I229&lt;&gt;"Hors service",$I229&lt;&gt;"Location terminée"),$G229+ROW()/100000,"")</f>
      </c>
      <c r="X229" s="9"/>
    </row>
    <row r="230" spans="1:24" x14ac:dyDescent="0.25">
      <c r="A230" s="9"/>
      <c r="B230" s="9"/>
      <c r="C230" s="9"/>
      <c r="D230" s="9"/>
      <c r="E230" s="19">
        <f>IF($A230="","",IF(SUMPRODUCT(MAX((Vérifications!$B$2:$B$1001=$A230)*Vérifications!$L$2:$L$1001))=0,"",SUMPRODUCT(MAX((Vérifications!$B$2:$B$1001=$A230)*Vérifications!$L$2:$L$1001))))</f>
      </c>
      <c r="F230" s="20">
        <f>IF($E230="","",IFERROR(INDEX(Vérifications!$E$2:$E$1001,MATCH($A230&amp;"|"&amp;$E230,Vérifications!$M$2:$M$1001,0)),""))</f>
      </c>
      <c r="G230" s="19">
        <f>IF($N230="","",IF(ISNUMBER($E230),EDATE($E230,$N230),IF(AND(ISNUMBER($U230),IFERROR(INDEX('Référentiel'!$E$2:$E$83,MATCH($C230,'Référentiel'!$A$2:$A$83,0)),0)&gt;0),EDATE($U230,IFERROR(INDEX('Référentiel'!$E$2:$E$83,MATCH($C230,'Référentiel'!$A$2:$A$83,0)),0)),"")))</f>
      </c>
      <c r="H230" s="21">
        <f>IF(ISNUMBER($G230),$G230-TODAY(),"")</f>
      </c>
      <c r="I230" s="20">
        <f>IF(AND($A230="",$C230=""),"",IF($T230="Non","Hors service",IF(AND($Q230="Location",ISNUMBER($R230),$R230&lt;TODAY()),"Location terminée",IF(OR($F230="Mise à l'arrêt",IF($A230="",0,SUMPRODUCT((Réserves!$B$2:$B$301=$A230)*(Réserves!$E$2:$E$301="Mise à l'arrêt")*(Réserves!$J$2:$J$301&lt;&gt;"Levée")*(Réserves!$J$2:$J$301&lt;&gt;"")))&gt;0),"Arrêt : réserve à lever",IF($C230="","Type à choisir",IF($N230="","Périodicité à saisir",IF(OR(ISTEXT($U230),ISTEXT($R230)),"Date à corriger",IF(AND($E230="",$Q230="Location",$S230&lt;&gt;"Oui"),"Rapport loueur à obtenir",IF(NOT(ISNUMBER($G230)),"Vérif. initiale à tracer",IF($H230&lt;0,"En retard",IF(AND($Q230="Location",$S230&lt;&gt;"Oui"),"Rapport loueur à obtenir",IF($H230&lt;='Tableau de bord'!$C$4,"À planifier","À jour"))))))))))))</f>
      </c>
      <c r="J230" s="22">
        <f>IF($A230="","",COUNTIFS(Réserves!$B$2:$B$301,$A230,Réserves!$J$2:$J$301,"Ouverte")+COUNTIFS(Réserves!$B$2:$B$301,$A230,Réserves!$J$2:$J$301,"En retard"))</f>
      </c>
      <c r="K230" s="20">
        <f>IF($C230="","",IFERROR(INDEX('Référentiel'!$B$2:$B$83,MATCH($C230,'Référentiel'!$A$2:$A$83,0)),"Type hors liste"))</f>
      </c>
      <c r="L230" s="22">
        <f>IF($C230="","",IF(IFERROR(INDEX('Référentiel'!$C$2:$C$83,MATCH($C230,'Référentiel'!$A$2:$A$83,0)),0)=0,"",IFERROR(INDEX('Référentiel'!$C$2:$C$83,MATCH($C230,'Référentiel'!$A$2:$A$83,0)),0)))</f>
      </c>
      <c r="M230" s="23"/>
      <c r="N230" s="22">
        <f>IF($C230="","",IF(IF($M230&lt;&gt;"",IF($L230&lt;&gt;"",MIN($L230,$M230),$M230),IF($L230&lt;&gt;"",$L230,IF(IFERROR(INDEX('Référentiel'!$D$2:$D$83,MATCH($C230,'Référentiel'!$A$2:$A$83,0)),0)&gt;0,IFERROR(INDEX('Référentiel'!$D$2:$D$83,MATCH($C230,'Référentiel'!$A$2:$A$83,0)),0),"")))="","",IF(AND(IFERROR(INDEX('Référentiel'!$F$2:$F$83,MATCH($C230,'Référentiel'!$A$2:$A$83,0)),0)&gt;0,N($J230)&gt;0),MIN(IF($M230&lt;&gt;"",IF($L230&lt;&gt;"",MIN($L230,$M230),$M230),IF($L230&lt;&gt;"",$L230,IF(IFERROR(INDEX('Référentiel'!$D$2:$D$83,MATCH($C230,'Référentiel'!$A$2:$A$83,0)),0)&gt;0,IFERROR(INDEX('Référentiel'!$D$2:$D$83,MATCH($C230,'Référentiel'!$A$2:$A$83,0)),0),""))),IFERROR(INDEX('Référentiel'!$F$2:$F$83,MATCH($C230,'Référentiel'!$A$2:$A$83,0)),0)),IF($M230&lt;&gt;"",IF($L230&lt;&gt;"",MIN($L230,$M230),$M230),IF($L230&lt;&gt;"",$L230,IF(IFERROR(INDEX('Référentiel'!$D$2:$D$83,MATCH($C230,'Référentiel'!$A$2:$A$83,0)),0)&gt;0,IFERROR(INDEX('Référentiel'!$D$2:$D$83,MATCH($C230,'Référentiel'!$A$2:$A$83,0)),0),""))))))</f>
      </c>
      <c r="O230" s="9"/>
      <c r="P230" s="23"/>
      <c r="Q230" s="9"/>
      <c r="R230" s="24"/>
      <c r="S230" s="23"/>
      <c r="T230" s="23"/>
      <c r="U230" s="24"/>
      <c r="V230" s="20">
        <f>IF($C230="","",IFERROR(INDEX('Référentiel'!$K$2:$K$83,MATCH($C230,'Référentiel'!$A$2:$A$83,0)),""))</f>
      </c>
      <c r="W230" s="20">
        <f>IF(AND(ISNUMBER($G230),$I230&lt;&gt;"Hors service",$I230&lt;&gt;"Location terminée"),$G230+ROW()/100000,"")</f>
      </c>
      <c r="X230" s="9"/>
    </row>
    <row r="231" spans="1:24" x14ac:dyDescent="0.25">
      <c r="A231" s="9"/>
      <c r="B231" s="9"/>
      <c r="C231" s="9"/>
      <c r="D231" s="9"/>
      <c r="E231" s="19">
        <f>IF($A231="","",IF(SUMPRODUCT(MAX((Vérifications!$B$2:$B$1001=$A231)*Vérifications!$L$2:$L$1001))=0,"",SUMPRODUCT(MAX((Vérifications!$B$2:$B$1001=$A231)*Vérifications!$L$2:$L$1001))))</f>
      </c>
      <c r="F231" s="20">
        <f>IF($E231="","",IFERROR(INDEX(Vérifications!$E$2:$E$1001,MATCH($A231&amp;"|"&amp;$E231,Vérifications!$M$2:$M$1001,0)),""))</f>
      </c>
      <c r="G231" s="19">
        <f>IF($N231="","",IF(ISNUMBER($E231),EDATE($E231,$N231),IF(AND(ISNUMBER($U231),IFERROR(INDEX('Référentiel'!$E$2:$E$83,MATCH($C231,'Référentiel'!$A$2:$A$83,0)),0)&gt;0),EDATE($U231,IFERROR(INDEX('Référentiel'!$E$2:$E$83,MATCH($C231,'Référentiel'!$A$2:$A$83,0)),0)),"")))</f>
      </c>
      <c r="H231" s="21">
        <f>IF(ISNUMBER($G231),$G231-TODAY(),"")</f>
      </c>
      <c r="I231" s="20">
        <f>IF(AND($A231="",$C231=""),"",IF($T231="Non","Hors service",IF(AND($Q231="Location",ISNUMBER($R231),$R231&lt;TODAY()),"Location terminée",IF(OR($F231="Mise à l'arrêt",IF($A231="",0,SUMPRODUCT((Réserves!$B$2:$B$301=$A231)*(Réserves!$E$2:$E$301="Mise à l'arrêt")*(Réserves!$J$2:$J$301&lt;&gt;"Levée")*(Réserves!$J$2:$J$301&lt;&gt;"")))&gt;0),"Arrêt : réserve à lever",IF($C231="","Type à choisir",IF($N231="","Périodicité à saisir",IF(OR(ISTEXT($U231),ISTEXT($R231)),"Date à corriger",IF(AND($E231="",$Q231="Location",$S231&lt;&gt;"Oui"),"Rapport loueur à obtenir",IF(NOT(ISNUMBER($G231)),"Vérif. initiale à tracer",IF($H231&lt;0,"En retard",IF(AND($Q231="Location",$S231&lt;&gt;"Oui"),"Rapport loueur à obtenir",IF($H231&lt;='Tableau de bord'!$C$4,"À planifier","À jour"))))))))))))</f>
      </c>
      <c r="J231" s="22">
        <f>IF($A231="","",COUNTIFS(Réserves!$B$2:$B$301,$A231,Réserves!$J$2:$J$301,"Ouverte")+COUNTIFS(Réserves!$B$2:$B$301,$A231,Réserves!$J$2:$J$301,"En retard"))</f>
      </c>
      <c r="K231" s="20">
        <f>IF($C231="","",IFERROR(INDEX('Référentiel'!$B$2:$B$83,MATCH($C231,'Référentiel'!$A$2:$A$83,0)),"Type hors liste"))</f>
      </c>
      <c r="L231" s="22">
        <f>IF($C231="","",IF(IFERROR(INDEX('Référentiel'!$C$2:$C$83,MATCH($C231,'Référentiel'!$A$2:$A$83,0)),0)=0,"",IFERROR(INDEX('Référentiel'!$C$2:$C$83,MATCH($C231,'Référentiel'!$A$2:$A$83,0)),0)))</f>
      </c>
      <c r="M231" s="23"/>
      <c r="N231" s="22">
        <f>IF($C231="","",IF(IF($M231&lt;&gt;"",IF($L231&lt;&gt;"",MIN($L231,$M231),$M231),IF($L231&lt;&gt;"",$L231,IF(IFERROR(INDEX('Référentiel'!$D$2:$D$83,MATCH($C231,'Référentiel'!$A$2:$A$83,0)),0)&gt;0,IFERROR(INDEX('Référentiel'!$D$2:$D$83,MATCH($C231,'Référentiel'!$A$2:$A$83,0)),0),"")))="","",IF(AND(IFERROR(INDEX('Référentiel'!$F$2:$F$83,MATCH($C231,'Référentiel'!$A$2:$A$83,0)),0)&gt;0,N($J231)&gt;0),MIN(IF($M231&lt;&gt;"",IF($L231&lt;&gt;"",MIN($L231,$M231),$M231),IF($L231&lt;&gt;"",$L231,IF(IFERROR(INDEX('Référentiel'!$D$2:$D$83,MATCH($C231,'Référentiel'!$A$2:$A$83,0)),0)&gt;0,IFERROR(INDEX('Référentiel'!$D$2:$D$83,MATCH($C231,'Référentiel'!$A$2:$A$83,0)),0),""))),IFERROR(INDEX('Référentiel'!$F$2:$F$83,MATCH($C231,'Référentiel'!$A$2:$A$83,0)),0)),IF($M231&lt;&gt;"",IF($L231&lt;&gt;"",MIN($L231,$M231),$M231),IF($L231&lt;&gt;"",$L231,IF(IFERROR(INDEX('Référentiel'!$D$2:$D$83,MATCH($C231,'Référentiel'!$A$2:$A$83,0)),0)&gt;0,IFERROR(INDEX('Référentiel'!$D$2:$D$83,MATCH($C231,'Référentiel'!$A$2:$A$83,0)),0),""))))))</f>
      </c>
      <c r="O231" s="9"/>
      <c r="P231" s="23"/>
      <c r="Q231" s="9"/>
      <c r="R231" s="24"/>
      <c r="S231" s="23"/>
      <c r="T231" s="23"/>
      <c r="U231" s="24"/>
      <c r="V231" s="20">
        <f>IF($C231="","",IFERROR(INDEX('Référentiel'!$K$2:$K$83,MATCH($C231,'Référentiel'!$A$2:$A$83,0)),""))</f>
      </c>
      <c r="W231" s="20">
        <f>IF(AND(ISNUMBER($G231),$I231&lt;&gt;"Hors service",$I231&lt;&gt;"Location terminée"),$G231+ROW()/100000,"")</f>
      </c>
      <c r="X231" s="9"/>
    </row>
    <row r="232" spans="1:24" x14ac:dyDescent="0.25">
      <c r="A232" s="9"/>
      <c r="B232" s="9"/>
      <c r="C232" s="9"/>
      <c r="D232" s="9"/>
      <c r="E232" s="19">
        <f>IF($A232="","",IF(SUMPRODUCT(MAX((Vérifications!$B$2:$B$1001=$A232)*Vérifications!$L$2:$L$1001))=0,"",SUMPRODUCT(MAX((Vérifications!$B$2:$B$1001=$A232)*Vérifications!$L$2:$L$1001))))</f>
      </c>
      <c r="F232" s="20">
        <f>IF($E232="","",IFERROR(INDEX(Vérifications!$E$2:$E$1001,MATCH($A232&amp;"|"&amp;$E232,Vérifications!$M$2:$M$1001,0)),""))</f>
      </c>
      <c r="G232" s="19">
        <f>IF($N232="","",IF(ISNUMBER($E232),EDATE($E232,$N232),IF(AND(ISNUMBER($U232),IFERROR(INDEX('Référentiel'!$E$2:$E$83,MATCH($C232,'Référentiel'!$A$2:$A$83,0)),0)&gt;0),EDATE($U232,IFERROR(INDEX('Référentiel'!$E$2:$E$83,MATCH($C232,'Référentiel'!$A$2:$A$83,0)),0)),"")))</f>
      </c>
      <c r="H232" s="21">
        <f>IF(ISNUMBER($G232),$G232-TODAY(),"")</f>
      </c>
      <c r="I232" s="20">
        <f>IF(AND($A232="",$C232=""),"",IF($T232="Non","Hors service",IF(AND($Q232="Location",ISNUMBER($R232),$R232&lt;TODAY()),"Location terminée",IF(OR($F232="Mise à l'arrêt",IF($A232="",0,SUMPRODUCT((Réserves!$B$2:$B$301=$A232)*(Réserves!$E$2:$E$301="Mise à l'arrêt")*(Réserves!$J$2:$J$301&lt;&gt;"Levée")*(Réserves!$J$2:$J$301&lt;&gt;"")))&gt;0),"Arrêt : réserve à lever",IF($C232="","Type à choisir",IF($N232="","Périodicité à saisir",IF(OR(ISTEXT($U232),ISTEXT($R232)),"Date à corriger",IF(AND($E232="",$Q232="Location",$S232&lt;&gt;"Oui"),"Rapport loueur à obtenir",IF(NOT(ISNUMBER($G232)),"Vérif. initiale à tracer",IF($H232&lt;0,"En retard",IF(AND($Q232="Location",$S232&lt;&gt;"Oui"),"Rapport loueur à obtenir",IF($H232&lt;='Tableau de bord'!$C$4,"À planifier","À jour"))))))))))))</f>
      </c>
      <c r="J232" s="22">
        <f>IF($A232="","",COUNTIFS(Réserves!$B$2:$B$301,$A232,Réserves!$J$2:$J$301,"Ouverte")+COUNTIFS(Réserves!$B$2:$B$301,$A232,Réserves!$J$2:$J$301,"En retard"))</f>
      </c>
      <c r="K232" s="20">
        <f>IF($C232="","",IFERROR(INDEX('Référentiel'!$B$2:$B$83,MATCH($C232,'Référentiel'!$A$2:$A$83,0)),"Type hors liste"))</f>
      </c>
      <c r="L232" s="22">
        <f>IF($C232="","",IF(IFERROR(INDEX('Référentiel'!$C$2:$C$83,MATCH($C232,'Référentiel'!$A$2:$A$83,0)),0)=0,"",IFERROR(INDEX('Référentiel'!$C$2:$C$83,MATCH($C232,'Référentiel'!$A$2:$A$83,0)),0)))</f>
      </c>
      <c r="M232" s="23"/>
      <c r="N232" s="22">
        <f>IF($C232="","",IF(IF($M232&lt;&gt;"",IF($L232&lt;&gt;"",MIN($L232,$M232),$M232),IF($L232&lt;&gt;"",$L232,IF(IFERROR(INDEX('Référentiel'!$D$2:$D$83,MATCH($C232,'Référentiel'!$A$2:$A$83,0)),0)&gt;0,IFERROR(INDEX('Référentiel'!$D$2:$D$83,MATCH($C232,'Référentiel'!$A$2:$A$83,0)),0),"")))="","",IF(AND(IFERROR(INDEX('Référentiel'!$F$2:$F$83,MATCH($C232,'Référentiel'!$A$2:$A$83,0)),0)&gt;0,N($J232)&gt;0),MIN(IF($M232&lt;&gt;"",IF($L232&lt;&gt;"",MIN($L232,$M232),$M232),IF($L232&lt;&gt;"",$L232,IF(IFERROR(INDEX('Référentiel'!$D$2:$D$83,MATCH($C232,'Référentiel'!$A$2:$A$83,0)),0)&gt;0,IFERROR(INDEX('Référentiel'!$D$2:$D$83,MATCH($C232,'Référentiel'!$A$2:$A$83,0)),0),""))),IFERROR(INDEX('Référentiel'!$F$2:$F$83,MATCH($C232,'Référentiel'!$A$2:$A$83,0)),0)),IF($M232&lt;&gt;"",IF($L232&lt;&gt;"",MIN($L232,$M232),$M232),IF($L232&lt;&gt;"",$L232,IF(IFERROR(INDEX('Référentiel'!$D$2:$D$83,MATCH($C232,'Référentiel'!$A$2:$A$83,0)),0)&gt;0,IFERROR(INDEX('Référentiel'!$D$2:$D$83,MATCH($C232,'Référentiel'!$A$2:$A$83,0)),0),""))))))</f>
      </c>
      <c r="O232" s="9"/>
      <c r="P232" s="23"/>
      <c r="Q232" s="9"/>
      <c r="R232" s="24"/>
      <c r="S232" s="23"/>
      <c r="T232" s="23"/>
      <c r="U232" s="24"/>
      <c r="V232" s="20">
        <f>IF($C232="","",IFERROR(INDEX('Référentiel'!$K$2:$K$83,MATCH($C232,'Référentiel'!$A$2:$A$83,0)),""))</f>
      </c>
      <c r="W232" s="20">
        <f>IF(AND(ISNUMBER($G232),$I232&lt;&gt;"Hors service",$I232&lt;&gt;"Location terminée"),$G232+ROW()/100000,"")</f>
      </c>
      <c r="X232" s="9"/>
    </row>
    <row r="233" spans="1:24" x14ac:dyDescent="0.25">
      <c r="A233" s="9"/>
      <c r="B233" s="9"/>
      <c r="C233" s="9"/>
      <c r="D233" s="9"/>
      <c r="E233" s="19">
        <f>IF($A233="","",IF(SUMPRODUCT(MAX((Vérifications!$B$2:$B$1001=$A233)*Vérifications!$L$2:$L$1001))=0,"",SUMPRODUCT(MAX((Vérifications!$B$2:$B$1001=$A233)*Vérifications!$L$2:$L$1001))))</f>
      </c>
      <c r="F233" s="20">
        <f>IF($E233="","",IFERROR(INDEX(Vérifications!$E$2:$E$1001,MATCH($A233&amp;"|"&amp;$E233,Vérifications!$M$2:$M$1001,0)),""))</f>
      </c>
      <c r="G233" s="19">
        <f>IF($N233="","",IF(ISNUMBER($E233),EDATE($E233,$N233),IF(AND(ISNUMBER($U233),IFERROR(INDEX('Référentiel'!$E$2:$E$83,MATCH($C233,'Référentiel'!$A$2:$A$83,0)),0)&gt;0),EDATE($U233,IFERROR(INDEX('Référentiel'!$E$2:$E$83,MATCH($C233,'Référentiel'!$A$2:$A$83,0)),0)),"")))</f>
      </c>
      <c r="H233" s="21">
        <f>IF(ISNUMBER($G233),$G233-TODAY(),"")</f>
      </c>
      <c r="I233" s="20">
        <f>IF(AND($A233="",$C233=""),"",IF($T233="Non","Hors service",IF(AND($Q233="Location",ISNUMBER($R233),$R233&lt;TODAY()),"Location terminée",IF(OR($F233="Mise à l'arrêt",IF($A233="",0,SUMPRODUCT((Réserves!$B$2:$B$301=$A233)*(Réserves!$E$2:$E$301="Mise à l'arrêt")*(Réserves!$J$2:$J$301&lt;&gt;"Levée")*(Réserves!$J$2:$J$301&lt;&gt;"")))&gt;0),"Arrêt : réserve à lever",IF($C233="","Type à choisir",IF($N233="","Périodicité à saisir",IF(OR(ISTEXT($U233),ISTEXT($R233)),"Date à corriger",IF(AND($E233="",$Q233="Location",$S233&lt;&gt;"Oui"),"Rapport loueur à obtenir",IF(NOT(ISNUMBER($G233)),"Vérif. initiale à tracer",IF($H233&lt;0,"En retard",IF(AND($Q233="Location",$S233&lt;&gt;"Oui"),"Rapport loueur à obtenir",IF($H233&lt;='Tableau de bord'!$C$4,"À planifier","À jour"))))))))))))</f>
      </c>
      <c r="J233" s="22">
        <f>IF($A233="","",COUNTIFS(Réserves!$B$2:$B$301,$A233,Réserves!$J$2:$J$301,"Ouverte")+COUNTIFS(Réserves!$B$2:$B$301,$A233,Réserves!$J$2:$J$301,"En retard"))</f>
      </c>
      <c r="K233" s="20">
        <f>IF($C233="","",IFERROR(INDEX('Référentiel'!$B$2:$B$83,MATCH($C233,'Référentiel'!$A$2:$A$83,0)),"Type hors liste"))</f>
      </c>
      <c r="L233" s="22">
        <f>IF($C233="","",IF(IFERROR(INDEX('Référentiel'!$C$2:$C$83,MATCH($C233,'Référentiel'!$A$2:$A$83,0)),0)=0,"",IFERROR(INDEX('Référentiel'!$C$2:$C$83,MATCH($C233,'Référentiel'!$A$2:$A$83,0)),0)))</f>
      </c>
      <c r="M233" s="23"/>
      <c r="N233" s="22">
        <f>IF($C233="","",IF(IF($M233&lt;&gt;"",IF($L233&lt;&gt;"",MIN($L233,$M233),$M233),IF($L233&lt;&gt;"",$L233,IF(IFERROR(INDEX('Référentiel'!$D$2:$D$83,MATCH($C233,'Référentiel'!$A$2:$A$83,0)),0)&gt;0,IFERROR(INDEX('Référentiel'!$D$2:$D$83,MATCH($C233,'Référentiel'!$A$2:$A$83,0)),0),"")))="","",IF(AND(IFERROR(INDEX('Référentiel'!$F$2:$F$83,MATCH($C233,'Référentiel'!$A$2:$A$83,0)),0)&gt;0,N($J233)&gt;0),MIN(IF($M233&lt;&gt;"",IF($L233&lt;&gt;"",MIN($L233,$M233),$M233),IF($L233&lt;&gt;"",$L233,IF(IFERROR(INDEX('Référentiel'!$D$2:$D$83,MATCH($C233,'Référentiel'!$A$2:$A$83,0)),0)&gt;0,IFERROR(INDEX('Référentiel'!$D$2:$D$83,MATCH($C233,'Référentiel'!$A$2:$A$83,0)),0),""))),IFERROR(INDEX('Référentiel'!$F$2:$F$83,MATCH($C233,'Référentiel'!$A$2:$A$83,0)),0)),IF($M233&lt;&gt;"",IF($L233&lt;&gt;"",MIN($L233,$M233),$M233),IF($L233&lt;&gt;"",$L233,IF(IFERROR(INDEX('Référentiel'!$D$2:$D$83,MATCH($C233,'Référentiel'!$A$2:$A$83,0)),0)&gt;0,IFERROR(INDEX('Référentiel'!$D$2:$D$83,MATCH($C233,'Référentiel'!$A$2:$A$83,0)),0),""))))))</f>
      </c>
      <c r="O233" s="9"/>
      <c r="P233" s="23"/>
      <c r="Q233" s="9"/>
      <c r="R233" s="24"/>
      <c r="S233" s="23"/>
      <c r="T233" s="23"/>
      <c r="U233" s="24"/>
      <c r="V233" s="20">
        <f>IF($C233="","",IFERROR(INDEX('Référentiel'!$K$2:$K$83,MATCH($C233,'Référentiel'!$A$2:$A$83,0)),""))</f>
      </c>
      <c r="W233" s="20">
        <f>IF(AND(ISNUMBER($G233),$I233&lt;&gt;"Hors service",$I233&lt;&gt;"Location terminée"),$G233+ROW()/100000,"")</f>
      </c>
      <c r="X233" s="9"/>
    </row>
    <row r="234" spans="1:24" x14ac:dyDescent="0.25">
      <c r="A234" s="9"/>
      <c r="B234" s="9"/>
      <c r="C234" s="9"/>
      <c r="D234" s="9"/>
      <c r="E234" s="19">
        <f>IF($A234="","",IF(SUMPRODUCT(MAX((Vérifications!$B$2:$B$1001=$A234)*Vérifications!$L$2:$L$1001))=0,"",SUMPRODUCT(MAX((Vérifications!$B$2:$B$1001=$A234)*Vérifications!$L$2:$L$1001))))</f>
      </c>
      <c r="F234" s="20">
        <f>IF($E234="","",IFERROR(INDEX(Vérifications!$E$2:$E$1001,MATCH($A234&amp;"|"&amp;$E234,Vérifications!$M$2:$M$1001,0)),""))</f>
      </c>
      <c r="G234" s="19">
        <f>IF($N234="","",IF(ISNUMBER($E234),EDATE($E234,$N234),IF(AND(ISNUMBER($U234),IFERROR(INDEX('Référentiel'!$E$2:$E$83,MATCH($C234,'Référentiel'!$A$2:$A$83,0)),0)&gt;0),EDATE($U234,IFERROR(INDEX('Référentiel'!$E$2:$E$83,MATCH($C234,'Référentiel'!$A$2:$A$83,0)),0)),"")))</f>
      </c>
      <c r="H234" s="21">
        <f>IF(ISNUMBER($G234),$G234-TODAY(),"")</f>
      </c>
      <c r="I234" s="20">
        <f>IF(AND($A234="",$C234=""),"",IF($T234="Non","Hors service",IF(AND($Q234="Location",ISNUMBER($R234),$R234&lt;TODAY()),"Location terminée",IF(OR($F234="Mise à l'arrêt",IF($A234="",0,SUMPRODUCT((Réserves!$B$2:$B$301=$A234)*(Réserves!$E$2:$E$301="Mise à l'arrêt")*(Réserves!$J$2:$J$301&lt;&gt;"Levée")*(Réserves!$J$2:$J$301&lt;&gt;"")))&gt;0),"Arrêt : réserve à lever",IF($C234="","Type à choisir",IF($N234="","Périodicité à saisir",IF(OR(ISTEXT($U234),ISTEXT($R234)),"Date à corriger",IF(AND($E234="",$Q234="Location",$S234&lt;&gt;"Oui"),"Rapport loueur à obtenir",IF(NOT(ISNUMBER($G234)),"Vérif. initiale à tracer",IF($H234&lt;0,"En retard",IF(AND($Q234="Location",$S234&lt;&gt;"Oui"),"Rapport loueur à obtenir",IF($H234&lt;='Tableau de bord'!$C$4,"À planifier","À jour"))))))))))))</f>
      </c>
      <c r="J234" s="22">
        <f>IF($A234="","",COUNTIFS(Réserves!$B$2:$B$301,$A234,Réserves!$J$2:$J$301,"Ouverte")+COUNTIFS(Réserves!$B$2:$B$301,$A234,Réserves!$J$2:$J$301,"En retard"))</f>
      </c>
      <c r="K234" s="20">
        <f>IF($C234="","",IFERROR(INDEX('Référentiel'!$B$2:$B$83,MATCH($C234,'Référentiel'!$A$2:$A$83,0)),"Type hors liste"))</f>
      </c>
      <c r="L234" s="22">
        <f>IF($C234="","",IF(IFERROR(INDEX('Référentiel'!$C$2:$C$83,MATCH($C234,'Référentiel'!$A$2:$A$83,0)),0)=0,"",IFERROR(INDEX('Référentiel'!$C$2:$C$83,MATCH($C234,'Référentiel'!$A$2:$A$83,0)),0)))</f>
      </c>
      <c r="M234" s="23"/>
      <c r="N234" s="22">
        <f>IF($C234="","",IF(IF($M234&lt;&gt;"",IF($L234&lt;&gt;"",MIN($L234,$M234),$M234),IF($L234&lt;&gt;"",$L234,IF(IFERROR(INDEX('Référentiel'!$D$2:$D$83,MATCH($C234,'Référentiel'!$A$2:$A$83,0)),0)&gt;0,IFERROR(INDEX('Référentiel'!$D$2:$D$83,MATCH($C234,'Référentiel'!$A$2:$A$83,0)),0),"")))="","",IF(AND(IFERROR(INDEX('Référentiel'!$F$2:$F$83,MATCH($C234,'Référentiel'!$A$2:$A$83,0)),0)&gt;0,N($J234)&gt;0),MIN(IF($M234&lt;&gt;"",IF($L234&lt;&gt;"",MIN($L234,$M234),$M234),IF($L234&lt;&gt;"",$L234,IF(IFERROR(INDEX('Référentiel'!$D$2:$D$83,MATCH($C234,'Référentiel'!$A$2:$A$83,0)),0)&gt;0,IFERROR(INDEX('Référentiel'!$D$2:$D$83,MATCH($C234,'Référentiel'!$A$2:$A$83,0)),0),""))),IFERROR(INDEX('Référentiel'!$F$2:$F$83,MATCH($C234,'Référentiel'!$A$2:$A$83,0)),0)),IF($M234&lt;&gt;"",IF($L234&lt;&gt;"",MIN($L234,$M234),$M234),IF($L234&lt;&gt;"",$L234,IF(IFERROR(INDEX('Référentiel'!$D$2:$D$83,MATCH($C234,'Référentiel'!$A$2:$A$83,0)),0)&gt;0,IFERROR(INDEX('Référentiel'!$D$2:$D$83,MATCH($C234,'Référentiel'!$A$2:$A$83,0)),0),""))))))</f>
      </c>
      <c r="O234" s="9"/>
      <c r="P234" s="23"/>
      <c r="Q234" s="9"/>
      <c r="R234" s="24"/>
      <c r="S234" s="23"/>
      <c r="T234" s="23"/>
      <c r="U234" s="24"/>
      <c r="V234" s="20">
        <f>IF($C234="","",IFERROR(INDEX('Référentiel'!$K$2:$K$83,MATCH($C234,'Référentiel'!$A$2:$A$83,0)),""))</f>
      </c>
      <c r="W234" s="20">
        <f>IF(AND(ISNUMBER($G234),$I234&lt;&gt;"Hors service",$I234&lt;&gt;"Location terminée"),$G234+ROW()/100000,"")</f>
      </c>
      <c r="X234" s="9"/>
    </row>
    <row r="235" spans="1:24" x14ac:dyDescent="0.25">
      <c r="A235" s="9"/>
      <c r="B235" s="9"/>
      <c r="C235" s="9"/>
      <c r="D235" s="9"/>
      <c r="E235" s="19">
        <f>IF($A235="","",IF(SUMPRODUCT(MAX((Vérifications!$B$2:$B$1001=$A235)*Vérifications!$L$2:$L$1001))=0,"",SUMPRODUCT(MAX((Vérifications!$B$2:$B$1001=$A235)*Vérifications!$L$2:$L$1001))))</f>
      </c>
      <c r="F235" s="20">
        <f>IF($E235="","",IFERROR(INDEX(Vérifications!$E$2:$E$1001,MATCH($A235&amp;"|"&amp;$E235,Vérifications!$M$2:$M$1001,0)),""))</f>
      </c>
      <c r="G235" s="19">
        <f>IF($N235="","",IF(ISNUMBER($E235),EDATE($E235,$N235),IF(AND(ISNUMBER($U235),IFERROR(INDEX('Référentiel'!$E$2:$E$83,MATCH($C235,'Référentiel'!$A$2:$A$83,0)),0)&gt;0),EDATE($U235,IFERROR(INDEX('Référentiel'!$E$2:$E$83,MATCH($C235,'Référentiel'!$A$2:$A$83,0)),0)),"")))</f>
      </c>
      <c r="H235" s="21">
        <f>IF(ISNUMBER($G235),$G235-TODAY(),"")</f>
      </c>
      <c r="I235" s="20">
        <f>IF(AND($A235="",$C235=""),"",IF($T235="Non","Hors service",IF(AND($Q235="Location",ISNUMBER($R235),$R235&lt;TODAY()),"Location terminée",IF(OR($F235="Mise à l'arrêt",IF($A235="",0,SUMPRODUCT((Réserves!$B$2:$B$301=$A235)*(Réserves!$E$2:$E$301="Mise à l'arrêt")*(Réserves!$J$2:$J$301&lt;&gt;"Levée")*(Réserves!$J$2:$J$301&lt;&gt;"")))&gt;0),"Arrêt : réserve à lever",IF($C235="","Type à choisir",IF($N235="","Périodicité à saisir",IF(OR(ISTEXT($U235),ISTEXT($R235)),"Date à corriger",IF(AND($E235="",$Q235="Location",$S235&lt;&gt;"Oui"),"Rapport loueur à obtenir",IF(NOT(ISNUMBER($G235)),"Vérif. initiale à tracer",IF($H235&lt;0,"En retard",IF(AND($Q235="Location",$S235&lt;&gt;"Oui"),"Rapport loueur à obtenir",IF($H235&lt;='Tableau de bord'!$C$4,"À planifier","À jour"))))))))))))</f>
      </c>
      <c r="J235" s="22">
        <f>IF($A235="","",COUNTIFS(Réserves!$B$2:$B$301,$A235,Réserves!$J$2:$J$301,"Ouverte")+COUNTIFS(Réserves!$B$2:$B$301,$A235,Réserves!$J$2:$J$301,"En retard"))</f>
      </c>
      <c r="K235" s="20">
        <f>IF($C235="","",IFERROR(INDEX('Référentiel'!$B$2:$B$83,MATCH($C235,'Référentiel'!$A$2:$A$83,0)),"Type hors liste"))</f>
      </c>
      <c r="L235" s="22">
        <f>IF($C235="","",IF(IFERROR(INDEX('Référentiel'!$C$2:$C$83,MATCH($C235,'Référentiel'!$A$2:$A$83,0)),0)=0,"",IFERROR(INDEX('Référentiel'!$C$2:$C$83,MATCH($C235,'Référentiel'!$A$2:$A$83,0)),0)))</f>
      </c>
      <c r="M235" s="23"/>
      <c r="N235" s="22">
        <f>IF($C235="","",IF(IF($M235&lt;&gt;"",IF($L235&lt;&gt;"",MIN($L235,$M235),$M235),IF($L235&lt;&gt;"",$L235,IF(IFERROR(INDEX('Référentiel'!$D$2:$D$83,MATCH($C235,'Référentiel'!$A$2:$A$83,0)),0)&gt;0,IFERROR(INDEX('Référentiel'!$D$2:$D$83,MATCH($C235,'Référentiel'!$A$2:$A$83,0)),0),"")))="","",IF(AND(IFERROR(INDEX('Référentiel'!$F$2:$F$83,MATCH($C235,'Référentiel'!$A$2:$A$83,0)),0)&gt;0,N($J235)&gt;0),MIN(IF($M235&lt;&gt;"",IF($L235&lt;&gt;"",MIN($L235,$M235),$M235),IF($L235&lt;&gt;"",$L235,IF(IFERROR(INDEX('Référentiel'!$D$2:$D$83,MATCH($C235,'Référentiel'!$A$2:$A$83,0)),0)&gt;0,IFERROR(INDEX('Référentiel'!$D$2:$D$83,MATCH($C235,'Référentiel'!$A$2:$A$83,0)),0),""))),IFERROR(INDEX('Référentiel'!$F$2:$F$83,MATCH($C235,'Référentiel'!$A$2:$A$83,0)),0)),IF($M235&lt;&gt;"",IF($L235&lt;&gt;"",MIN($L235,$M235),$M235),IF($L235&lt;&gt;"",$L235,IF(IFERROR(INDEX('Référentiel'!$D$2:$D$83,MATCH($C235,'Référentiel'!$A$2:$A$83,0)),0)&gt;0,IFERROR(INDEX('Référentiel'!$D$2:$D$83,MATCH($C235,'Référentiel'!$A$2:$A$83,0)),0),""))))))</f>
      </c>
      <c r="O235" s="9"/>
      <c r="P235" s="23"/>
      <c r="Q235" s="9"/>
      <c r="R235" s="24"/>
      <c r="S235" s="23"/>
      <c r="T235" s="23"/>
      <c r="U235" s="24"/>
      <c r="V235" s="20">
        <f>IF($C235="","",IFERROR(INDEX('Référentiel'!$K$2:$K$83,MATCH($C235,'Référentiel'!$A$2:$A$83,0)),""))</f>
      </c>
      <c r="W235" s="20">
        <f>IF(AND(ISNUMBER($G235),$I235&lt;&gt;"Hors service",$I235&lt;&gt;"Location terminée"),$G235+ROW()/100000,"")</f>
      </c>
      <c r="X235" s="9"/>
    </row>
    <row r="236" spans="1:24" x14ac:dyDescent="0.25">
      <c r="A236" s="9"/>
      <c r="B236" s="9"/>
      <c r="C236" s="9"/>
      <c r="D236" s="9"/>
      <c r="E236" s="19">
        <f>IF($A236="","",IF(SUMPRODUCT(MAX((Vérifications!$B$2:$B$1001=$A236)*Vérifications!$L$2:$L$1001))=0,"",SUMPRODUCT(MAX((Vérifications!$B$2:$B$1001=$A236)*Vérifications!$L$2:$L$1001))))</f>
      </c>
      <c r="F236" s="20">
        <f>IF($E236="","",IFERROR(INDEX(Vérifications!$E$2:$E$1001,MATCH($A236&amp;"|"&amp;$E236,Vérifications!$M$2:$M$1001,0)),""))</f>
      </c>
      <c r="G236" s="19">
        <f>IF($N236="","",IF(ISNUMBER($E236),EDATE($E236,$N236),IF(AND(ISNUMBER($U236),IFERROR(INDEX('Référentiel'!$E$2:$E$83,MATCH($C236,'Référentiel'!$A$2:$A$83,0)),0)&gt;0),EDATE($U236,IFERROR(INDEX('Référentiel'!$E$2:$E$83,MATCH($C236,'Référentiel'!$A$2:$A$83,0)),0)),"")))</f>
      </c>
      <c r="H236" s="21">
        <f>IF(ISNUMBER($G236),$G236-TODAY(),"")</f>
      </c>
      <c r="I236" s="20">
        <f>IF(AND($A236="",$C236=""),"",IF($T236="Non","Hors service",IF(AND($Q236="Location",ISNUMBER($R236),$R236&lt;TODAY()),"Location terminée",IF(OR($F236="Mise à l'arrêt",IF($A236="",0,SUMPRODUCT((Réserves!$B$2:$B$301=$A236)*(Réserves!$E$2:$E$301="Mise à l'arrêt")*(Réserves!$J$2:$J$301&lt;&gt;"Levée")*(Réserves!$J$2:$J$301&lt;&gt;"")))&gt;0),"Arrêt : réserve à lever",IF($C236="","Type à choisir",IF($N236="","Périodicité à saisir",IF(OR(ISTEXT($U236),ISTEXT($R236)),"Date à corriger",IF(AND($E236="",$Q236="Location",$S236&lt;&gt;"Oui"),"Rapport loueur à obtenir",IF(NOT(ISNUMBER($G236)),"Vérif. initiale à tracer",IF($H236&lt;0,"En retard",IF(AND($Q236="Location",$S236&lt;&gt;"Oui"),"Rapport loueur à obtenir",IF($H236&lt;='Tableau de bord'!$C$4,"À planifier","À jour"))))))))))))</f>
      </c>
      <c r="J236" s="22">
        <f>IF($A236="","",COUNTIFS(Réserves!$B$2:$B$301,$A236,Réserves!$J$2:$J$301,"Ouverte")+COUNTIFS(Réserves!$B$2:$B$301,$A236,Réserves!$J$2:$J$301,"En retard"))</f>
      </c>
      <c r="K236" s="20">
        <f>IF($C236="","",IFERROR(INDEX('Référentiel'!$B$2:$B$83,MATCH($C236,'Référentiel'!$A$2:$A$83,0)),"Type hors liste"))</f>
      </c>
      <c r="L236" s="22">
        <f>IF($C236="","",IF(IFERROR(INDEX('Référentiel'!$C$2:$C$83,MATCH($C236,'Référentiel'!$A$2:$A$83,0)),0)=0,"",IFERROR(INDEX('Référentiel'!$C$2:$C$83,MATCH($C236,'Référentiel'!$A$2:$A$83,0)),0)))</f>
      </c>
      <c r="M236" s="23"/>
      <c r="N236" s="22">
        <f>IF($C236="","",IF(IF($M236&lt;&gt;"",IF($L236&lt;&gt;"",MIN($L236,$M236),$M236),IF($L236&lt;&gt;"",$L236,IF(IFERROR(INDEX('Référentiel'!$D$2:$D$83,MATCH($C236,'Référentiel'!$A$2:$A$83,0)),0)&gt;0,IFERROR(INDEX('Référentiel'!$D$2:$D$83,MATCH($C236,'Référentiel'!$A$2:$A$83,0)),0),"")))="","",IF(AND(IFERROR(INDEX('Référentiel'!$F$2:$F$83,MATCH($C236,'Référentiel'!$A$2:$A$83,0)),0)&gt;0,N($J236)&gt;0),MIN(IF($M236&lt;&gt;"",IF($L236&lt;&gt;"",MIN($L236,$M236),$M236),IF($L236&lt;&gt;"",$L236,IF(IFERROR(INDEX('Référentiel'!$D$2:$D$83,MATCH($C236,'Référentiel'!$A$2:$A$83,0)),0)&gt;0,IFERROR(INDEX('Référentiel'!$D$2:$D$83,MATCH($C236,'Référentiel'!$A$2:$A$83,0)),0),""))),IFERROR(INDEX('Référentiel'!$F$2:$F$83,MATCH($C236,'Référentiel'!$A$2:$A$83,0)),0)),IF($M236&lt;&gt;"",IF($L236&lt;&gt;"",MIN($L236,$M236),$M236),IF($L236&lt;&gt;"",$L236,IF(IFERROR(INDEX('Référentiel'!$D$2:$D$83,MATCH($C236,'Référentiel'!$A$2:$A$83,0)),0)&gt;0,IFERROR(INDEX('Référentiel'!$D$2:$D$83,MATCH($C236,'Référentiel'!$A$2:$A$83,0)),0),""))))))</f>
      </c>
      <c r="O236" s="9"/>
      <c r="P236" s="23"/>
      <c r="Q236" s="9"/>
      <c r="R236" s="24"/>
      <c r="S236" s="23"/>
      <c r="T236" s="23"/>
      <c r="U236" s="24"/>
      <c r="V236" s="20">
        <f>IF($C236="","",IFERROR(INDEX('Référentiel'!$K$2:$K$83,MATCH($C236,'Référentiel'!$A$2:$A$83,0)),""))</f>
      </c>
      <c r="W236" s="20">
        <f>IF(AND(ISNUMBER($G236),$I236&lt;&gt;"Hors service",$I236&lt;&gt;"Location terminée"),$G236+ROW()/100000,"")</f>
      </c>
      <c r="X236" s="9"/>
    </row>
    <row r="237" spans="1:24" x14ac:dyDescent="0.25">
      <c r="A237" s="9"/>
      <c r="B237" s="9"/>
      <c r="C237" s="9"/>
      <c r="D237" s="9"/>
      <c r="E237" s="19">
        <f>IF($A237="","",IF(SUMPRODUCT(MAX((Vérifications!$B$2:$B$1001=$A237)*Vérifications!$L$2:$L$1001))=0,"",SUMPRODUCT(MAX((Vérifications!$B$2:$B$1001=$A237)*Vérifications!$L$2:$L$1001))))</f>
      </c>
      <c r="F237" s="20">
        <f>IF($E237="","",IFERROR(INDEX(Vérifications!$E$2:$E$1001,MATCH($A237&amp;"|"&amp;$E237,Vérifications!$M$2:$M$1001,0)),""))</f>
      </c>
      <c r="G237" s="19">
        <f>IF($N237="","",IF(ISNUMBER($E237),EDATE($E237,$N237),IF(AND(ISNUMBER($U237),IFERROR(INDEX('Référentiel'!$E$2:$E$83,MATCH($C237,'Référentiel'!$A$2:$A$83,0)),0)&gt;0),EDATE($U237,IFERROR(INDEX('Référentiel'!$E$2:$E$83,MATCH($C237,'Référentiel'!$A$2:$A$83,0)),0)),"")))</f>
      </c>
      <c r="H237" s="21">
        <f>IF(ISNUMBER($G237),$G237-TODAY(),"")</f>
      </c>
      <c r="I237" s="20">
        <f>IF(AND($A237="",$C237=""),"",IF($T237="Non","Hors service",IF(AND($Q237="Location",ISNUMBER($R237),$R237&lt;TODAY()),"Location terminée",IF(OR($F237="Mise à l'arrêt",IF($A237="",0,SUMPRODUCT((Réserves!$B$2:$B$301=$A237)*(Réserves!$E$2:$E$301="Mise à l'arrêt")*(Réserves!$J$2:$J$301&lt;&gt;"Levée")*(Réserves!$J$2:$J$301&lt;&gt;"")))&gt;0),"Arrêt : réserve à lever",IF($C237="","Type à choisir",IF($N237="","Périodicité à saisir",IF(OR(ISTEXT($U237),ISTEXT($R237)),"Date à corriger",IF(AND($E237="",$Q237="Location",$S237&lt;&gt;"Oui"),"Rapport loueur à obtenir",IF(NOT(ISNUMBER($G237)),"Vérif. initiale à tracer",IF($H237&lt;0,"En retard",IF(AND($Q237="Location",$S237&lt;&gt;"Oui"),"Rapport loueur à obtenir",IF($H237&lt;='Tableau de bord'!$C$4,"À planifier","À jour"))))))))))))</f>
      </c>
      <c r="J237" s="22">
        <f>IF($A237="","",COUNTIFS(Réserves!$B$2:$B$301,$A237,Réserves!$J$2:$J$301,"Ouverte")+COUNTIFS(Réserves!$B$2:$B$301,$A237,Réserves!$J$2:$J$301,"En retard"))</f>
      </c>
      <c r="K237" s="20">
        <f>IF($C237="","",IFERROR(INDEX('Référentiel'!$B$2:$B$83,MATCH($C237,'Référentiel'!$A$2:$A$83,0)),"Type hors liste"))</f>
      </c>
      <c r="L237" s="22">
        <f>IF($C237="","",IF(IFERROR(INDEX('Référentiel'!$C$2:$C$83,MATCH($C237,'Référentiel'!$A$2:$A$83,0)),0)=0,"",IFERROR(INDEX('Référentiel'!$C$2:$C$83,MATCH($C237,'Référentiel'!$A$2:$A$83,0)),0)))</f>
      </c>
      <c r="M237" s="23"/>
      <c r="N237" s="22">
        <f>IF($C237="","",IF(IF($M237&lt;&gt;"",IF($L237&lt;&gt;"",MIN($L237,$M237),$M237),IF($L237&lt;&gt;"",$L237,IF(IFERROR(INDEX('Référentiel'!$D$2:$D$83,MATCH($C237,'Référentiel'!$A$2:$A$83,0)),0)&gt;0,IFERROR(INDEX('Référentiel'!$D$2:$D$83,MATCH($C237,'Référentiel'!$A$2:$A$83,0)),0),"")))="","",IF(AND(IFERROR(INDEX('Référentiel'!$F$2:$F$83,MATCH($C237,'Référentiel'!$A$2:$A$83,0)),0)&gt;0,N($J237)&gt;0),MIN(IF($M237&lt;&gt;"",IF($L237&lt;&gt;"",MIN($L237,$M237),$M237),IF($L237&lt;&gt;"",$L237,IF(IFERROR(INDEX('Référentiel'!$D$2:$D$83,MATCH($C237,'Référentiel'!$A$2:$A$83,0)),0)&gt;0,IFERROR(INDEX('Référentiel'!$D$2:$D$83,MATCH($C237,'Référentiel'!$A$2:$A$83,0)),0),""))),IFERROR(INDEX('Référentiel'!$F$2:$F$83,MATCH($C237,'Référentiel'!$A$2:$A$83,0)),0)),IF($M237&lt;&gt;"",IF($L237&lt;&gt;"",MIN($L237,$M237),$M237),IF($L237&lt;&gt;"",$L237,IF(IFERROR(INDEX('Référentiel'!$D$2:$D$83,MATCH($C237,'Référentiel'!$A$2:$A$83,0)),0)&gt;0,IFERROR(INDEX('Référentiel'!$D$2:$D$83,MATCH($C237,'Référentiel'!$A$2:$A$83,0)),0),""))))))</f>
      </c>
      <c r="O237" s="9"/>
      <c r="P237" s="23"/>
      <c r="Q237" s="9"/>
      <c r="R237" s="24"/>
      <c r="S237" s="23"/>
      <c r="T237" s="23"/>
      <c r="U237" s="24"/>
      <c r="V237" s="20">
        <f>IF($C237="","",IFERROR(INDEX('Référentiel'!$K$2:$K$83,MATCH($C237,'Référentiel'!$A$2:$A$83,0)),""))</f>
      </c>
      <c r="W237" s="20">
        <f>IF(AND(ISNUMBER($G237),$I237&lt;&gt;"Hors service",$I237&lt;&gt;"Location terminée"),$G237+ROW()/100000,"")</f>
      </c>
      <c r="X237" s="9"/>
    </row>
    <row r="238" spans="1:24" x14ac:dyDescent="0.25">
      <c r="A238" s="9"/>
      <c r="B238" s="9"/>
      <c r="C238" s="9"/>
      <c r="D238" s="9"/>
      <c r="E238" s="19">
        <f>IF($A238="","",IF(SUMPRODUCT(MAX((Vérifications!$B$2:$B$1001=$A238)*Vérifications!$L$2:$L$1001))=0,"",SUMPRODUCT(MAX((Vérifications!$B$2:$B$1001=$A238)*Vérifications!$L$2:$L$1001))))</f>
      </c>
      <c r="F238" s="20">
        <f>IF($E238="","",IFERROR(INDEX(Vérifications!$E$2:$E$1001,MATCH($A238&amp;"|"&amp;$E238,Vérifications!$M$2:$M$1001,0)),""))</f>
      </c>
      <c r="G238" s="19">
        <f>IF($N238="","",IF(ISNUMBER($E238),EDATE($E238,$N238),IF(AND(ISNUMBER($U238),IFERROR(INDEX('Référentiel'!$E$2:$E$83,MATCH($C238,'Référentiel'!$A$2:$A$83,0)),0)&gt;0),EDATE($U238,IFERROR(INDEX('Référentiel'!$E$2:$E$83,MATCH($C238,'Référentiel'!$A$2:$A$83,0)),0)),"")))</f>
      </c>
      <c r="H238" s="21">
        <f>IF(ISNUMBER($G238),$G238-TODAY(),"")</f>
      </c>
      <c r="I238" s="20">
        <f>IF(AND($A238="",$C238=""),"",IF($T238="Non","Hors service",IF(AND($Q238="Location",ISNUMBER($R238),$R238&lt;TODAY()),"Location terminée",IF(OR($F238="Mise à l'arrêt",IF($A238="",0,SUMPRODUCT((Réserves!$B$2:$B$301=$A238)*(Réserves!$E$2:$E$301="Mise à l'arrêt")*(Réserves!$J$2:$J$301&lt;&gt;"Levée")*(Réserves!$J$2:$J$301&lt;&gt;"")))&gt;0),"Arrêt : réserve à lever",IF($C238="","Type à choisir",IF($N238="","Périodicité à saisir",IF(OR(ISTEXT($U238),ISTEXT($R238)),"Date à corriger",IF(AND($E238="",$Q238="Location",$S238&lt;&gt;"Oui"),"Rapport loueur à obtenir",IF(NOT(ISNUMBER($G238)),"Vérif. initiale à tracer",IF($H238&lt;0,"En retard",IF(AND($Q238="Location",$S238&lt;&gt;"Oui"),"Rapport loueur à obtenir",IF($H238&lt;='Tableau de bord'!$C$4,"À planifier","À jour"))))))))))))</f>
      </c>
      <c r="J238" s="22">
        <f>IF($A238="","",COUNTIFS(Réserves!$B$2:$B$301,$A238,Réserves!$J$2:$J$301,"Ouverte")+COUNTIFS(Réserves!$B$2:$B$301,$A238,Réserves!$J$2:$J$301,"En retard"))</f>
      </c>
      <c r="K238" s="20">
        <f>IF($C238="","",IFERROR(INDEX('Référentiel'!$B$2:$B$83,MATCH($C238,'Référentiel'!$A$2:$A$83,0)),"Type hors liste"))</f>
      </c>
      <c r="L238" s="22">
        <f>IF($C238="","",IF(IFERROR(INDEX('Référentiel'!$C$2:$C$83,MATCH($C238,'Référentiel'!$A$2:$A$83,0)),0)=0,"",IFERROR(INDEX('Référentiel'!$C$2:$C$83,MATCH($C238,'Référentiel'!$A$2:$A$83,0)),0)))</f>
      </c>
      <c r="M238" s="23"/>
      <c r="N238" s="22">
        <f>IF($C238="","",IF(IF($M238&lt;&gt;"",IF($L238&lt;&gt;"",MIN($L238,$M238),$M238),IF($L238&lt;&gt;"",$L238,IF(IFERROR(INDEX('Référentiel'!$D$2:$D$83,MATCH($C238,'Référentiel'!$A$2:$A$83,0)),0)&gt;0,IFERROR(INDEX('Référentiel'!$D$2:$D$83,MATCH($C238,'Référentiel'!$A$2:$A$83,0)),0),"")))="","",IF(AND(IFERROR(INDEX('Référentiel'!$F$2:$F$83,MATCH($C238,'Référentiel'!$A$2:$A$83,0)),0)&gt;0,N($J238)&gt;0),MIN(IF($M238&lt;&gt;"",IF($L238&lt;&gt;"",MIN($L238,$M238),$M238),IF($L238&lt;&gt;"",$L238,IF(IFERROR(INDEX('Référentiel'!$D$2:$D$83,MATCH($C238,'Référentiel'!$A$2:$A$83,0)),0)&gt;0,IFERROR(INDEX('Référentiel'!$D$2:$D$83,MATCH($C238,'Référentiel'!$A$2:$A$83,0)),0),""))),IFERROR(INDEX('Référentiel'!$F$2:$F$83,MATCH($C238,'Référentiel'!$A$2:$A$83,0)),0)),IF($M238&lt;&gt;"",IF($L238&lt;&gt;"",MIN($L238,$M238),$M238),IF($L238&lt;&gt;"",$L238,IF(IFERROR(INDEX('Référentiel'!$D$2:$D$83,MATCH($C238,'Référentiel'!$A$2:$A$83,0)),0)&gt;0,IFERROR(INDEX('Référentiel'!$D$2:$D$83,MATCH($C238,'Référentiel'!$A$2:$A$83,0)),0),""))))))</f>
      </c>
      <c r="O238" s="9"/>
      <c r="P238" s="23"/>
      <c r="Q238" s="9"/>
      <c r="R238" s="24"/>
      <c r="S238" s="23"/>
      <c r="T238" s="23"/>
      <c r="U238" s="24"/>
      <c r="V238" s="20">
        <f>IF($C238="","",IFERROR(INDEX('Référentiel'!$K$2:$K$83,MATCH($C238,'Référentiel'!$A$2:$A$83,0)),""))</f>
      </c>
      <c r="W238" s="20">
        <f>IF(AND(ISNUMBER($G238),$I238&lt;&gt;"Hors service",$I238&lt;&gt;"Location terminée"),$G238+ROW()/100000,"")</f>
      </c>
      <c r="X238" s="9"/>
    </row>
    <row r="239" spans="1:24" x14ac:dyDescent="0.25">
      <c r="A239" s="9"/>
      <c r="B239" s="9"/>
      <c r="C239" s="9"/>
      <c r="D239" s="9"/>
      <c r="E239" s="19">
        <f>IF($A239="","",IF(SUMPRODUCT(MAX((Vérifications!$B$2:$B$1001=$A239)*Vérifications!$L$2:$L$1001))=0,"",SUMPRODUCT(MAX((Vérifications!$B$2:$B$1001=$A239)*Vérifications!$L$2:$L$1001))))</f>
      </c>
      <c r="F239" s="20">
        <f>IF($E239="","",IFERROR(INDEX(Vérifications!$E$2:$E$1001,MATCH($A239&amp;"|"&amp;$E239,Vérifications!$M$2:$M$1001,0)),""))</f>
      </c>
      <c r="G239" s="19">
        <f>IF($N239="","",IF(ISNUMBER($E239),EDATE($E239,$N239),IF(AND(ISNUMBER($U239),IFERROR(INDEX('Référentiel'!$E$2:$E$83,MATCH($C239,'Référentiel'!$A$2:$A$83,0)),0)&gt;0),EDATE($U239,IFERROR(INDEX('Référentiel'!$E$2:$E$83,MATCH($C239,'Référentiel'!$A$2:$A$83,0)),0)),"")))</f>
      </c>
      <c r="H239" s="21">
        <f>IF(ISNUMBER($G239),$G239-TODAY(),"")</f>
      </c>
      <c r="I239" s="20">
        <f>IF(AND($A239="",$C239=""),"",IF($T239="Non","Hors service",IF(AND($Q239="Location",ISNUMBER($R239),$R239&lt;TODAY()),"Location terminée",IF(OR($F239="Mise à l'arrêt",IF($A239="",0,SUMPRODUCT((Réserves!$B$2:$B$301=$A239)*(Réserves!$E$2:$E$301="Mise à l'arrêt")*(Réserves!$J$2:$J$301&lt;&gt;"Levée")*(Réserves!$J$2:$J$301&lt;&gt;"")))&gt;0),"Arrêt : réserve à lever",IF($C239="","Type à choisir",IF($N239="","Périodicité à saisir",IF(OR(ISTEXT($U239),ISTEXT($R239)),"Date à corriger",IF(AND($E239="",$Q239="Location",$S239&lt;&gt;"Oui"),"Rapport loueur à obtenir",IF(NOT(ISNUMBER($G239)),"Vérif. initiale à tracer",IF($H239&lt;0,"En retard",IF(AND($Q239="Location",$S239&lt;&gt;"Oui"),"Rapport loueur à obtenir",IF($H239&lt;='Tableau de bord'!$C$4,"À planifier","À jour"))))))))))))</f>
      </c>
      <c r="J239" s="22">
        <f>IF($A239="","",COUNTIFS(Réserves!$B$2:$B$301,$A239,Réserves!$J$2:$J$301,"Ouverte")+COUNTIFS(Réserves!$B$2:$B$301,$A239,Réserves!$J$2:$J$301,"En retard"))</f>
      </c>
      <c r="K239" s="20">
        <f>IF($C239="","",IFERROR(INDEX('Référentiel'!$B$2:$B$83,MATCH($C239,'Référentiel'!$A$2:$A$83,0)),"Type hors liste"))</f>
      </c>
      <c r="L239" s="22">
        <f>IF($C239="","",IF(IFERROR(INDEX('Référentiel'!$C$2:$C$83,MATCH($C239,'Référentiel'!$A$2:$A$83,0)),0)=0,"",IFERROR(INDEX('Référentiel'!$C$2:$C$83,MATCH($C239,'Référentiel'!$A$2:$A$83,0)),0)))</f>
      </c>
      <c r="M239" s="23"/>
      <c r="N239" s="22">
        <f>IF($C239="","",IF(IF($M239&lt;&gt;"",IF($L239&lt;&gt;"",MIN($L239,$M239),$M239),IF($L239&lt;&gt;"",$L239,IF(IFERROR(INDEX('Référentiel'!$D$2:$D$83,MATCH($C239,'Référentiel'!$A$2:$A$83,0)),0)&gt;0,IFERROR(INDEX('Référentiel'!$D$2:$D$83,MATCH($C239,'Référentiel'!$A$2:$A$83,0)),0),"")))="","",IF(AND(IFERROR(INDEX('Référentiel'!$F$2:$F$83,MATCH($C239,'Référentiel'!$A$2:$A$83,0)),0)&gt;0,N($J239)&gt;0),MIN(IF($M239&lt;&gt;"",IF($L239&lt;&gt;"",MIN($L239,$M239),$M239),IF($L239&lt;&gt;"",$L239,IF(IFERROR(INDEX('Référentiel'!$D$2:$D$83,MATCH($C239,'Référentiel'!$A$2:$A$83,0)),0)&gt;0,IFERROR(INDEX('Référentiel'!$D$2:$D$83,MATCH($C239,'Référentiel'!$A$2:$A$83,0)),0),""))),IFERROR(INDEX('Référentiel'!$F$2:$F$83,MATCH($C239,'Référentiel'!$A$2:$A$83,0)),0)),IF($M239&lt;&gt;"",IF($L239&lt;&gt;"",MIN($L239,$M239),$M239),IF($L239&lt;&gt;"",$L239,IF(IFERROR(INDEX('Référentiel'!$D$2:$D$83,MATCH($C239,'Référentiel'!$A$2:$A$83,0)),0)&gt;0,IFERROR(INDEX('Référentiel'!$D$2:$D$83,MATCH($C239,'Référentiel'!$A$2:$A$83,0)),0),""))))))</f>
      </c>
      <c r="O239" s="9"/>
      <c r="P239" s="23"/>
      <c r="Q239" s="9"/>
      <c r="R239" s="24"/>
      <c r="S239" s="23"/>
      <c r="T239" s="23"/>
      <c r="U239" s="24"/>
      <c r="V239" s="20">
        <f>IF($C239="","",IFERROR(INDEX('Référentiel'!$K$2:$K$83,MATCH($C239,'Référentiel'!$A$2:$A$83,0)),""))</f>
      </c>
      <c r="W239" s="20">
        <f>IF(AND(ISNUMBER($G239),$I239&lt;&gt;"Hors service",$I239&lt;&gt;"Location terminée"),$G239+ROW()/100000,"")</f>
      </c>
      <c r="X239" s="9"/>
    </row>
    <row r="240" spans="1:24" x14ac:dyDescent="0.25">
      <c r="A240" s="9"/>
      <c r="B240" s="9"/>
      <c r="C240" s="9"/>
      <c r="D240" s="9"/>
      <c r="E240" s="19">
        <f>IF($A240="","",IF(SUMPRODUCT(MAX((Vérifications!$B$2:$B$1001=$A240)*Vérifications!$L$2:$L$1001))=0,"",SUMPRODUCT(MAX((Vérifications!$B$2:$B$1001=$A240)*Vérifications!$L$2:$L$1001))))</f>
      </c>
      <c r="F240" s="20">
        <f>IF($E240="","",IFERROR(INDEX(Vérifications!$E$2:$E$1001,MATCH($A240&amp;"|"&amp;$E240,Vérifications!$M$2:$M$1001,0)),""))</f>
      </c>
      <c r="G240" s="19">
        <f>IF($N240="","",IF(ISNUMBER($E240),EDATE($E240,$N240),IF(AND(ISNUMBER($U240),IFERROR(INDEX('Référentiel'!$E$2:$E$83,MATCH($C240,'Référentiel'!$A$2:$A$83,0)),0)&gt;0),EDATE($U240,IFERROR(INDEX('Référentiel'!$E$2:$E$83,MATCH($C240,'Référentiel'!$A$2:$A$83,0)),0)),"")))</f>
      </c>
      <c r="H240" s="21">
        <f>IF(ISNUMBER($G240),$G240-TODAY(),"")</f>
      </c>
      <c r="I240" s="20">
        <f>IF(AND($A240="",$C240=""),"",IF($T240="Non","Hors service",IF(AND($Q240="Location",ISNUMBER($R240),$R240&lt;TODAY()),"Location terminée",IF(OR($F240="Mise à l'arrêt",IF($A240="",0,SUMPRODUCT((Réserves!$B$2:$B$301=$A240)*(Réserves!$E$2:$E$301="Mise à l'arrêt")*(Réserves!$J$2:$J$301&lt;&gt;"Levée")*(Réserves!$J$2:$J$301&lt;&gt;"")))&gt;0),"Arrêt : réserve à lever",IF($C240="","Type à choisir",IF($N240="","Périodicité à saisir",IF(OR(ISTEXT($U240),ISTEXT($R240)),"Date à corriger",IF(AND($E240="",$Q240="Location",$S240&lt;&gt;"Oui"),"Rapport loueur à obtenir",IF(NOT(ISNUMBER($G240)),"Vérif. initiale à tracer",IF($H240&lt;0,"En retard",IF(AND($Q240="Location",$S240&lt;&gt;"Oui"),"Rapport loueur à obtenir",IF($H240&lt;='Tableau de bord'!$C$4,"À planifier","À jour"))))))))))))</f>
      </c>
      <c r="J240" s="22">
        <f>IF($A240="","",COUNTIFS(Réserves!$B$2:$B$301,$A240,Réserves!$J$2:$J$301,"Ouverte")+COUNTIFS(Réserves!$B$2:$B$301,$A240,Réserves!$J$2:$J$301,"En retard"))</f>
      </c>
      <c r="K240" s="20">
        <f>IF($C240="","",IFERROR(INDEX('Référentiel'!$B$2:$B$83,MATCH($C240,'Référentiel'!$A$2:$A$83,0)),"Type hors liste"))</f>
      </c>
      <c r="L240" s="22">
        <f>IF($C240="","",IF(IFERROR(INDEX('Référentiel'!$C$2:$C$83,MATCH($C240,'Référentiel'!$A$2:$A$83,0)),0)=0,"",IFERROR(INDEX('Référentiel'!$C$2:$C$83,MATCH($C240,'Référentiel'!$A$2:$A$83,0)),0)))</f>
      </c>
      <c r="M240" s="23"/>
      <c r="N240" s="22">
        <f>IF($C240="","",IF(IF($M240&lt;&gt;"",IF($L240&lt;&gt;"",MIN($L240,$M240),$M240),IF($L240&lt;&gt;"",$L240,IF(IFERROR(INDEX('Référentiel'!$D$2:$D$83,MATCH($C240,'Référentiel'!$A$2:$A$83,0)),0)&gt;0,IFERROR(INDEX('Référentiel'!$D$2:$D$83,MATCH($C240,'Référentiel'!$A$2:$A$83,0)),0),"")))="","",IF(AND(IFERROR(INDEX('Référentiel'!$F$2:$F$83,MATCH($C240,'Référentiel'!$A$2:$A$83,0)),0)&gt;0,N($J240)&gt;0),MIN(IF($M240&lt;&gt;"",IF($L240&lt;&gt;"",MIN($L240,$M240),$M240),IF($L240&lt;&gt;"",$L240,IF(IFERROR(INDEX('Référentiel'!$D$2:$D$83,MATCH($C240,'Référentiel'!$A$2:$A$83,0)),0)&gt;0,IFERROR(INDEX('Référentiel'!$D$2:$D$83,MATCH($C240,'Référentiel'!$A$2:$A$83,0)),0),""))),IFERROR(INDEX('Référentiel'!$F$2:$F$83,MATCH($C240,'Référentiel'!$A$2:$A$83,0)),0)),IF($M240&lt;&gt;"",IF($L240&lt;&gt;"",MIN($L240,$M240),$M240),IF($L240&lt;&gt;"",$L240,IF(IFERROR(INDEX('Référentiel'!$D$2:$D$83,MATCH($C240,'Référentiel'!$A$2:$A$83,0)),0)&gt;0,IFERROR(INDEX('Référentiel'!$D$2:$D$83,MATCH($C240,'Référentiel'!$A$2:$A$83,0)),0),""))))))</f>
      </c>
      <c r="O240" s="9"/>
      <c r="P240" s="23"/>
      <c r="Q240" s="9"/>
      <c r="R240" s="24"/>
      <c r="S240" s="23"/>
      <c r="T240" s="23"/>
      <c r="U240" s="24"/>
      <c r="V240" s="20">
        <f>IF($C240="","",IFERROR(INDEX('Référentiel'!$K$2:$K$83,MATCH($C240,'Référentiel'!$A$2:$A$83,0)),""))</f>
      </c>
      <c r="W240" s="20">
        <f>IF(AND(ISNUMBER($G240),$I240&lt;&gt;"Hors service",$I240&lt;&gt;"Location terminée"),$G240+ROW()/100000,"")</f>
      </c>
      <c r="X240" s="9"/>
    </row>
    <row r="241" spans="1:24" x14ac:dyDescent="0.25">
      <c r="A241" s="9"/>
      <c r="B241" s="9"/>
      <c r="C241" s="9"/>
      <c r="D241" s="9"/>
      <c r="E241" s="19">
        <f>IF($A241="","",IF(SUMPRODUCT(MAX((Vérifications!$B$2:$B$1001=$A241)*Vérifications!$L$2:$L$1001))=0,"",SUMPRODUCT(MAX((Vérifications!$B$2:$B$1001=$A241)*Vérifications!$L$2:$L$1001))))</f>
      </c>
      <c r="F241" s="20">
        <f>IF($E241="","",IFERROR(INDEX(Vérifications!$E$2:$E$1001,MATCH($A241&amp;"|"&amp;$E241,Vérifications!$M$2:$M$1001,0)),""))</f>
      </c>
      <c r="G241" s="19">
        <f>IF($N241="","",IF(ISNUMBER($E241),EDATE($E241,$N241),IF(AND(ISNUMBER($U241),IFERROR(INDEX('Référentiel'!$E$2:$E$83,MATCH($C241,'Référentiel'!$A$2:$A$83,0)),0)&gt;0),EDATE($U241,IFERROR(INDEX('Référentiel'!$E$2:$E$83,MATCH($C241,'Référentiel'!$A$2:$A$83,0)),0)),"")))</f>
      </c>
      <c r="H241" s="21">
        <f>IF(ISNUMBER($G241),$G241-TODAY(),"")</f>
      </c>
      <c r="I241" s="20">
        <f>IF(AND($A241="",$C241=""),"",IF($T241="Non","Hors service",IF(AND($Q241="Location",ISNUMBER($R241),$R241&lt;TODAY()),"Location terminée",IF(OR($F241="Mise à l'arrêt",IF($A241="",0,SUMPRODUCT((Réserves!$B$2:$B$301=$A241)*(Réserves!$E$2:$E$301="Mise à l'arrêt")*(Réserves!$J$2:$J$301&lt;&gt;"Levée")*(Réserves!$J$2:$J$301&lt;&gt;"")))&gt;0),"Arrêt : réserve à lever",IF($C241="","Type à choisir",IF($N241="","Périodicité à saisir",IF(OR(ISTEXT($U241),ISTEXT($R241)),"Date à corriger",IF(AND($E241="",$Q241="Location",$S241&lt;&gt;"Oui"),"Rapport loueur à obtenir",IF(NOT(ISNUMBER($G241)),"Vérif. initiale à tracer",IF($H241&lt;0,"En retard",IF(AND($Q241="Location",$S241&lt;&gt;"Oui"),"Rapport loueur à obtenir",IF($H241&lt;='Tableau de bord'!$C$4,"À planifier","À jour"))))))))))))</f>
      </c>
      <c r="J241" s="22">
        <f>IF($A241="","",COUNTIFS(Réserves!$B$2:$B$301,$A241,Réserves!$J$2:$J$301,"Ouverte")+COUNTIFS(Réserves!$B$2:$B$301,$A241,Réserves!$J$2:$J$301,"En retard"))</f>
      </c>
      <c r="K241" s="20">
        <f>IF($C241="","",IFERROR(INDEX('Référentiel'!$B$2:$B$83,MATCH($C241,'Référentiel'!$A$2:$A$83,0)),"Type hors liste"))</f>
      </c>
      <c r="L241" s="22">
        <f>IF($C241="","",IF(IFERROR(INDEX('Référentiel'!$C$2:$C$83,MATCH($C241,'Référentiel'!$A$2:$A$83,0)),0)=0,"",IFERROR(INDEX('Référentiel'!$C$2:$C$83,MATCH($C241,'Référentiel'!$A$2:$A$83,0)),0)))</f>
      </c>
      <c r="M241" s="23"/>
      <c r="N241" s="22">
        <f>IF($C241="","",IF(IF($M241&lt;&gt;"",IF($L241&lt;&gt;"",MIN($L241,$M241),$M241),IF($L241&lt;&gt;"",$L241,IF(IFERROR(INDEX('Référentiel'!$D$2:$D$83,MATCH($C241,'Référentiel'!$A$2:$A$83,0)),0)&gt;0,IFERROR(INDEX('Référentiel'!$D$2:$D$83,MATCH($C241,'Référentiel'!$A$2:$A$83,0)),0),"")))="","",IF(AND(IFERROR(INDEX('Référentiel'!$F$2:$F$83,MATCH($C241,'Référentiel'!$A$2:$A$83,0)),0)&gt;0,N($J241)&gt;0),MIN(IF($M241&lt;&gt;"",IF($L241&lt;&gt;"",MIN($L241,$M241),$M241),IF($L241&lt;&gt;"",$L241,IF(IFERROR(INDEX('Référentiel'!$D$2:$D$83,MATCH($C241,'Référentiel'!$A$2:$A$83,0)),0)&gt;0,IFERROR(INDEX('Référentiel'!$D$2:$D$83,MATCH($C241,'Référentiel'!$A$2:$A$83,0)),0),""))),IFERROR(INDEX('Référentiel'!$F$2:$F$83,MATCH($C241,'Référentiel'!$A$2:$A$83,0)),0)),IF($M241&lt;&gt;"",IF($L241&lt;&gt;"",MIN($L241,$M241),$M241),IF($L241&lt;&gt;"",$L241,IF(IFERROR(INDEX('Référentiel'!$D$2:$D$83,MATCH($C241,'Référentiel'!$A$2:$A$83,0)),0)&gt;0,IFERROR(INDEX('Référentiel'!$D$2:$D$83,MATCH($C241,'Référentiel'!$A$2:$A$83,0)),0),""))))))</f>
      </c>
      <c r="O241" s="9"/>
      <c r="P241" s="23"/>
      <c r="Q241" s="9"/>
      <c r="R241" s="24"/>
      <c r="S241" s="23"/>
      <c r="T241" s="23"/>
      <c r="U241" s="24"/>
      <c r="V241" s="20">
        <f>IF($C241="","",IFERROR(INDEX('Référentiel'!$K$2:$K$83,MATCH($C241,'Référentiel'!$A$2:$A$83,0)),""))</f>
      </c>
      <c r="W241" s="20">
        <f>IF(AND(ISNUMBER($G241),$I241&lt;&gt;"Hors service",$I241&lt;&gt;"Location terminée"),$G241+ROW()/100000,"")</f>
      </c>
      <c r="X241" s="9"/>
    </row>
    <row r="242" spans="1:24" x14ac:dyDescent="0.25">
      <c r="A242" s="9"/>
      <c r="B242" s="9"/>
      <c r="C242" s="9"/>
      <c r="D242" s="9"/>
      <c r="E242" s="19">
        <f>IF($A242="","",IF(SUMPRODUCT(MAX((Vérifications!$B$2:$B$1001=$A242)*Vérifications!$L$2:$L$1001))=0,"",SUMPRODUCT(MAX((Vérifications!$B$2:$B$1001=$A242)*Vérifications!$L$2:$L$1001))))</f>
      </c>
      <c r="F242" s="20">
        <f>IF($E242="","",IFERROR(INDEX(Vérifications!$E$2:$E$1001,MATCH($A242&amp;"|"&amp;$E242,Vérifications!$M$2:$M$1001,0)),""))</f>
      </c>
      <c r="G242" s="19">
        <f>IF($N242="","",IF(ISNUMBER($E242),EDATE($E242,$N242),IF(AND(ISNUMBER($U242),IFERROR(INDEX('Référentiel'!$E$2:$E$83,MATCH($C242,'Référentiel'!$A$2:$A$83,0)),0)&gt;0),EDATE($U242,IFERROR(INDEX('Référentiel'!$E$2:$E$83,MATCH($C242,'Référentiel'!$A$2:$A$83,0)),0)),"")))</f>
      </c>
      <c r="H242" s="21">
        <f>IF(ISNUMBER($G242),$G242-TODAY(),"")</f>
      </c>
      <c r="I242" s="20">
        <f>IF(AND($A242="",$C242=""),"",IF($T242="Non","Hors service",IF(AND($Q242="Location",ISNUMBER($R242),$R242&lt;TODAY()),"Location terminée",IF(OR($F242="Mise à l'arrêt",IF($A242="",0,SUMPRODUCT((Réserves!$B$2:$B$301=$A242)*(Réserves!$E$2:$E$301="Mise à l'arrêt")*(Réserves!$J$2:$J$301&lt;&gt;"Levée")*(Réserves!$J$2:$J$301&lt;&gt;"")))&gt;0),"Arrêt : réserve à lever",IF($C242="","Type à choisir",IF($N242="","Périodicité à saisir",IF(OR(ISTEXT($U242),ISTEXT($R242)),"Date à corriger",IF(AND($E242="",$Q242="Location",$S242&lt;&gt;"Oui"),"Rapport loueur à obtenir",IF(NOT(ISNUMBER($G242)),"Vérif. initiale à tracer",IF($H242&lt;0,"En retard",IF(AND($Q242="Location",$S242&lt;&gt;"Oui"),"Rapport loueur à obtenir",IF($H242&lt;='Tableau de bord'!$C$4,"À planifier","À jour"))))))))))))</f>
      </c>
      <c r="J242" s="22">
        <f>IF($A242="","",COUNTIFS(Réserves!$B$2:$B$301,$A242,Réserves!$J$2:$J$301,"Ouverte")+COUNTIFS(Réserves!$B$2:$B$301,$A242,Réserves!$J$2:$J$301,"En retard"))</f>
      </c>
      <c r="K242" s="20">
        <f>IF($C242="","",IFERROR(INDEX('Référentiel'!$B$2:$B$83,MATCH($C242,'Référentiel'!$A$2:$A$83,0)),"Type hors liste"))</f>
      </c>
      <c r="L242" s="22">
        <f>IF($C242="","",IF(IFERROR(INDEX('Référentiel'!$C$2:$C$83,MATCH($C242,'Référentiel'!$A$2:$A$83,0)),0)=0,"",IFERROR(INDEX('Référentiel'!$C$2:$C$83,MATCH($C242,'Référentiel'!$A$2:$A$83,0)),0)))</f>
      </c>
      <c r="M242" s="23"/>
      <c r="N242" s="22">
        <f>IF($C242="","",IF(IF($M242&lt;&gt;"",IF($L242&lt;&gt;"",MIN($L242,$M242),$M242),IF($L242&lt;&gt;"",$L242,IF(IFERROR(INDEX('Référentiel'!$D$2:$D$83,MATCH($C242,'Référentiel'!$A$2:$A$83,0)),0)&gt;0,IFERROR(INDEX('Référentiel'!$D$2:$D$83,MATCH($C242,'Référentiel'!$A$2:$A$83,0)),0),"")))="","",IF(AND(IFERROR(INDEX('Référentiel'!$F$2:$F$83,MATCH($C242,'Référentiel'!$A$2:$A$83,0)),0)&gt;0,N($J242)&gt;0),MIN(IF($M242&lt;&gt;"",IF($L242&lt;&gt;"",MIN($L242,$M242),$M242),IF($L242&lt;&gt;"",$L242,IF(IFERROR(INDEX('Référentiel'!$D$2:$D$83,MATCH($C242,'Référentiel'!$A$2:$A$83,0)),0)&gt;0,IFERROR(INDEX('Référentiel'!$D$2:$D$83,MATCH($C242,'Référentiel'!$A$2:$A$83,0)),0),""))),IFERROR(INDEX('Référentiel'!$F$2:$F$83,MATCH($C242,'Référentiel'!$A$2:$A$83,0)),0)),IF($M242&lt;&gt;"",IF($L242&lt;&gt;"",MIN($L242,$M242),$M242),IF($L242&lt;&gt;"",$L242,IF(IFERROR(INDEX('Référentiel'!$D$2:$D$83,MATCH($C242,'Référentiel'!$A$2:$A$83,0)),0)&gt;0,IFERROR(INDEX('Référentiel'!$D$2:$D$83,MATCH($C242,'Référentiel'!$A$2:$A$83,0)),0),""))))))</f>
      </c>
      <c r="O242" s="9"/>
      <c r="P242" s="23"/>
      <c r="Q242" s="9"/>
      <c r="R242" s="24"/>
      <c r="S242" s="23"/>
      <c r="T242" s="23"/>
      <c r="U242" s="24"/>
      <c r="V242" s="20">
        <f>IF($C242="","",IFERROR(INDEX('Référentiel'!$K$2:$K$83,MATCH($C242,'Référentiel'!$A$2:$A$83,0)),""))</f>
      </c>
      <c r="W242" s="20">
        <f>IF(AND(ISNUMBER($G242),$I242&lt;&gt;"Hors service",$I242&lt;&gt;"Location terminée"),$G242+ROW()/100000,"")</f>
      </c>
      <c r="X242" s="9"/>
    </row>
    <row r="243" spans="1:24" x14ac:dyDescent="0.25">
      <c r="A243" s="9"/>
      <c r="B243" s="9"/>
      <c r="C243" s="9"/>
      <c r="D243" s="9"/>
      <c r="E243" s="19">
        <f>IF($A243="","",IF(SUMPRODUCT(MAX((Vérifications!$B$2:$B$1001=$A243)*Vérifications!$L$2:$L$1001))=0,"",SUMPRODUCT(MAX((Vérifications!$B$2:$B$1001=$A243)*Vérifications!$L$2:$L$1001))))</f>
      </c>
      <c r="F243" s="20">
        <f>IF($E243="","",IFERROR(INDEX(Vérifications!$E$2:$E$1001,MATCH($A243&amp;"|"&amp;$E243,Vérifications!$M$2:$M$1001,0)),""))</f>
      </c>
      <c r="G243" s="19">
        <f>IF($N243="","",IF(ISNUMBER($E243),EDATE($E243,$N243),IF(AND(ISNUMBER($U243),IFERROR(INDEX('Référentiel'!$E$2:$E$83,MATCH($C243,'Référentiel'!$A$2:$A$83,0)),0)&gt;0),EDATE($U243,IFERROR(INDEX('Référentiel'!$E$2:$E$83,MATCH($C243,'Référentiel'!$A$2:$A$83,0)),0)),"")))</f>
      </c>
      <c r="H243" s="21">
        <f>IF(ISNUMBER($G243),$G243-TODAY(),"")</f>
      </c>
      <c r="I243" s="20">
        <f>IF(AND($A243="",$C243=""),"",IF($T243="Non","Hors service",IF(AND($Q243="Location",ISNUMBER($R243),$R243&lt;TODAY()),"Location terminée",IF(OR($F243="Mise à l'arrêt",IF($A243="",0,SUMPRODUCT((Réserves!$B$2:$B$301=$A243)*(Réserves!$E$2:$E$301="Mise à l'arrêt")*(Réserves!$J$2:$J$301&lt;&gt;"Levée")*(Réserves!$J$2:$J$301&lt;&gt;"")))&gt;0),"Arrêt : réserve à lever",IF($C243="","Type à choisir",IF($N243="","Périodicité à saisir",IF(OR(ISTEXT($U243),ISTEXT($R243)),"Date à corriger",IF(AND($E243="",$Q243="Location",$S243&lt;&gt;"Oui"),"Rapport loueur à obtenir",IF(NOT(ISNUMBER($G243)),"Vérif. initiale à tracer",IF($H243&lt;0,"En retard",IF(AND($Q243="Location",$S243&lt;&gt;"Oui"),"Rapport loueur à obtenir",IF($H243&lt;='Tableau de bord'!$C$4,"À planifier","À jour"))))))))))))</f>
      </c>
      <c r="J243" s="22">
        <f>IF($A243="","",COUNTIFS(Réserves!$B$2:$B$301,$A243,Réserves!$J$2:$J$301,"Ouverte")+COUNTIFS(Réserves!$B$2:$B$301,$A243,Réserves!$J$2:$J$301,"En retard"))</f>
      </c>
      <c r="K243" s="20">
        <f>IF($C243="","",IFERROR(INDEX('Référentiel'!$B$2:$B$83,MATCH($C243,'Référentiel'!$A$2:$A$83,0)),"Type hors liste"))</f>
      </c>
      <c r="L243" s="22">
        <f>IF($C243="","",IF(IFERROR(INDEX('Référentiel'!$C$2:$C$83,MATCH($C243,'Référentiel'!$A$2:$A$83,0)),0)=0,"",IFERROR(INDEX('Référentiel'!$C$2:$C$83,MATCH($C243,'Référentiel'!$A$2:$A$83,0)),0)))</f>
      </c>
      <c r="M243" s="23"/>
      <c r="N243" s="22">
        <f>IF($C243="","",IF(IF($M243&lt;&gt;"",IF($L243&lt;&gt;"",MIN($L243,$M243),$M243),IF($L243&lt;&gt;"",$L243,IF(IFERROR(INDEX('Référentiel'!$D$2:$D$83,MATCH($C243,'Référentiel'!$A$2:$A$83,0)),0)&gt;0,IFERROR(INDEX('Référentiel'!$D$2:$D$83,MATCH($C243,'Référentiel'!$A$2:$A$83,0)),0),"")))="","",IF(AND(IFERROR(INDEX('Référentiel'!$F$2:$F$83,MATCH($C243,'Référentiel'!$A$2:$A$83,0)),0)&gt;0,N($J243)&gt;0),MIN(IF($M243&lt;&gt;"",IF($L243&lt;&gt;"",MIN($L243,$M243),$M243),IF($L243&lt;&gt;"",$L243,IF(IFERROR(INDEX('Référentiel'!$D$2:$D$83,MATCH($C243,'Référentiel'!$A$2:$A$83,0)),0)&gt;0,IFERROR(INDEX('Référentiel'!$D$2:$D$83,MATCH($C243,'Référentiel'!$A$2:$A$83,0)),0),""))),IFERROR(INDEX('Référentiel'!$F$2:$F$83,MATCH($C243,'Référentiel'!$A$2:$A$83,0)),0)),IF($M243&lt;&gt;"",IF($L243&lt;&gt;"",MIN($L243,$M243),$M243),IF($L243&lt;&gt;"",$L243,IF(IFERROR(INDEX('Référentiel'!$D$2:$D$83,MATCH($C243,'Référentiel'!$A$2:$A$83,0)),0)&gt;0,IFERROR(INDEX('Référentiel'!$D$2:$D$83,MATCH($C243,'Référentiel'!$A$2:$A$83,0)),0),""))))))</f>
      </c>
      <c r="O243" s="9"/>
      <c r="P243" s="23"/>
      <c r="Q243" s="9"/>
      <c r="R243" s="24"/>
      <c r="S243" s="23"/>
      <c r="T243" s="23"/>
      <c r="U243" s="24"/>
      <c r="V243" s="20">
        <f>IF($C243="","",IFERROR(INDEX('Référentiel'!$K$2:$K$83,MATCH($C243,'Référentiel'!$A$2:$A$83,0)),""))</f>
      </c>
      <c r="W243" s="20">
        <f>IF(AND(ISNUMBER($G243),$I243&lt;&gt;"Hors service",$I243&lt;&gt;"Location terminée"),$G243+ROW()/100000,"")</f>
      </c>
      <c r="X243" s="9"/>
    </row>
    <row r="244" spans="1:24" x14ac:dyDescent="0.25">
      <c r="A244" s="9"/>
      <c r="B244" s="9"/>
      <c r="C244" s="9"/>
      <c r="D244" s="9"/>
      <c r="E244" s="19">
        <f>IF($A244="","",IF(SUMPRODUCT(MAX((Vérifications!$B$2:$B$1001=$A244)*Vérifications!$L$2:$L$1001))=0,"",SUMPRODUCT(MAX((Vérifications!$B$2:$B$1001=$A244)*Vérifications!$L$2:$L$1001))))</f>
      </c>
      <c r="F244" s="20">
        <f>IF($E244="","",IFERROR(INDEX(Vérifications!$E$2:$E$1001,MATCH($A244&amp;"|"&amp;$E244,Vérifications!$M$2:$M$1001,0)),""))</f>
      </c>
      <c r="G244" s="19">
        <f>IF($N244="","",IF(ISNUMBER($E244),EDATE($E244,$N244),IF(AND(ISNUMBER($U244),IFERROR(INDEX('Référentiel'!$E$2:$E$83,MATCH($C244,'Référentiel'!$A$2:$A$83,0)),0)&gt;0),EDATE($U244,IFERROR(INDEX('Référentiel'!$E$2:$E$83,MATCH($C244,'Référentiel'!$A$2:$A$83,0)),0)),"")))</f>
      </c>
      <c r="H244" s="21">
        <f>IF(ISNUMBER($G244),$G244-TODAY(),"")</f>
      </c>
      <c r="I244" s="20">
        <f>IF(AND($A244="",$C244=""),"",IF($T244="Non","Hors service",IF(AND($Q244="Location",ISNUMBER($R244),$R244&lt;TODAY()),"Location terminée",IF(OR($F244="Mise à l'arrêt",IF($A244="",0,SUMPRODUCT((Réserves!$B$2:$B$301=$A244)*(Réserves!$E$2:$E$301="Mise à l'arrêt")*(Réserves!$J$2:$J$301&lt;&gt;"Levée")*(Réserves!$J$2:$J$301&lt;&gt;"")))&gt;0),"Arrêt : réserve à lever",IF($C244="","Type à choisir",IF($N244="","Périodicité à saisir",IF(OR(ISTEXT($U244),ISTEXT($R244)),"Date à corriger",IF(AND($E244="",$Q244="Location",$S244&lt;&gt;"Oui"),"Rapport loueur à obtenir",IF(NOT(ISNUMBER($G244)),"Vérif. initiale à tracer",IF($H244&lt;0,"En retard",IF(AND($Q244="Location",$S244&lt;&gt;"Oui"),"Rapport loueur à obtenir",IF($H244&lt;='Tableau de bord'!$C$4,"À planifier","À jour"))))))))))))</f>
      </c>
      <c r="J244" s="22">
        <f>IF($A244="","",COUNTIFS(Réserves!$B$2:$B$301,$A244,Réserves!$J$2:$J$301,"Ouverte")+COUNTIFS(Réserves!$B$2:$B$301,$A244,Réserves!$J$2:$J$301,"En retard"))</f>
      </c>
      <c r="K244" s="20">
        <f>IF($C244="","",IFERROR(INDEX('Référentiel'!$B$2:$B$83,MATCH($C244,'Référentiel'!$A$2:$A$83,0)),"Type hors liste"))</f>
      </c>
      <c r="L244" s="22">
        <f>IF($C244="","",IF(IFERROR(INDEX('Référentiel'!$C$2:$C$83,MATCH($C244,'Référentiel'!$A$2:$A$83,0)),0)=0,"",IFERROR(INDEX('Référentiel'!$C$2:$C$83,MATCH($C244,'Référentiel'!$A$2:$A$83,0)),0)))</f>
      </c>
      <c r="M244" s="23"/>
      <c r="N244" s="22">
        <f>IF($C244="","",IF(IF($M244&lt;&gt;"",IF($L244&lt;&gt;"",MIN($L244,$M244),$M244),IF($L244&lt;&gt;"",$L244,IF(IFERROR(INDEX('Référentiel'!$D$2:$D$83,MATCH($C244,'Référentiel'!$A$2:$A$83,0)),0)&gt;0,IFERROR(INDEX('Référentiel'!$D$2:$D$83,MATCH($C244,'Référentiel'!$A$2:$A$83,0)),0),"")))="","",IF(AND(IFERROR(INDEX('Référentiel'!$F$2:$F$83,MATCH($C244,'Référentiel'!$A$2:$A$83,0)),0)&gt;0,N($J244)&gt;0),MIN(IF($M244&lt;&gt;"",IF($L244&lt;&gt;"",MIN($L244,$M244),$M244),IF($L244&lt;&gt;"",$L244,IF(IFERROR(INDEX('Référentiel'!$D$2:$D$83,MATCH($C244,'Référentiel'!$A$2:$A$83,0)),0)&gt;0,IFERROR(INDEX('Référentiel'!$D$2:$D$83,MATCH($C244,'Référentiel'!$A$2:$A$83,0)),0),""))),IFERROR(INDEX('Référentiel'!$F$2:$F$83,MATCH($C244,'Référentiel'!$A$2:$A$83,0)),0)),IF($M244&lt;&gt;"",IF($L244&lt;&gt;"",MIN($L244,$M244),$M244),IF($L244&lt;&gt;"",$L244,IF(IFERROR(INDEX('Référentiel'!$D$2:$D$83,MATCH($C244,'Référentiel'!$A$2:$A$83,0)),0)&gt;0,IFERROR(INDEX('Référentiel'!$D$2:$D$83,MATCH($C244,'Référentiel'!$A$2:$A$83,0)),0),""))))))</f>
      </c>
      <c r="O244" s="9"/>
      <c r="P244" s="23"/>
      <c r="Q244" s="9"/>
      <c r="R244" s="24"/>
      <c r="S244" s="23"/>
      <c r="T244" s="23"/>
      <c r="U244" s="24"/>
      <c r="V244" s="20">
        <f>IF($C244="","",IFERROR(INDEX('Référentiel'!$K$2:$K$83,MATCH($C244,'Référentiel'!$A$2:$A$83,0)),""))</f>
      </c>
      <c r="W244" s="20">
        <f>IF(AND(ISNUMBER($G244),$I244&lt;&gt;"Hors service",$I244&lt;&gt;"Location terminée"),$G244+ROW()/100000,"")</f>
      </c>
      <c r="X244" s="9"/>
    </row>
    <row r="245" spans="1:24" x14ac:dyDescent="0.25">
      <c r="A245" s="9"/>
      <c r="B245" s="9"/>
      <c r="C245" s="9"/>
      <c r="D245" s="9"/>
      <c r="E245" s="19">
        <f>IF($A245="","",IF(SUMPRODUCT(MAX((Vérifications!$B$2:$B$1001=$A245)*Vérifications!$L$2:$L$1001))=0,"",SUMPRODUCT(MAX((Vérifications!$B$2:$B$1001=$A245)*Vérifications!$L$2:$L$1001))))</f>
      </c>
      <c r="F245" s="20">
        <f>IF($E245="","",IFERROR(INDEX(Vérifications!$E$2:$E$1001,MATCH($A245&amp;"|"&amp;$E245,Vérifications!$M$2:$M$1001,0)),""))</f>
      </c>
      <c r="G245" s="19">
        <f>IF($N245="","",IF(ISNUMBER($E245),EDATE($E245,$N245),IF(AND(ISNUMBER($U245),IFERROR(INDEX('Référentiel'!$E$2:$E$83,MATCH($C245,'Référentiel'!$A$2:$A$83,0)),0)&gt;0),EDATE($U245,IFERROR(INDEX('Référentiel'!$E$2:$E$83,MATCH($C245,'Référentiel'!$A$2:$A$83,0)),0)),"")))</f>
      </c>
      <c r="H245" s="21">
        <f>IF(ISNUMBER($G245),$G245-TODAY(),"")</f>
      </c>
      <c r="I245" s="20">
        <f>IF(AND($A245="",$C245=""),"",IF($T245="Non","Hors service",IF(AND($Q245="Location",ISNUMBER($R245),$R245&lt;TODAY()),"Location terminée",IF(OR($F245="Mise à l'arrêt",IF($A245="",0,SUMPRODUCT((Réserves!$B$2:$B$301=$A245)*(Réserves!$E$2:$E$301="Mise à l'arrêt")*(Réserves!$J$2:$J$301&lt;&gt;"Levée")*(Réserves!$J$2:$J$301&lt;&gt;"")))&gt;0),"Arrêt : réserve à lever",IF($C245="","Type à choisir",IF($N245="","Périodicité à saisir",IF(OR(ISTEXT($U245),ISTEXT($R245)),"Date à corriger",IF(AND($E245="",$Q245="Location",$S245&lt;&gt;"Oui"),"Rapport loueur à obtenir",IF(NOT(ISNUMBER($G245)),"Vérif. initiale à tracer",IF($H245&lt;0,"En retard",IF(AND($Q245="Location",$S245&lt;&gt;"Oui"),"Rapport loueur à obtenir",IF($H245&lt;='Tableau de bord'!$C$4,"À planifier","À jour"))))))))))))</f>
      </c>
      <c r="J245" s="22">
        <f>IF($A245="","",COUNTIFS(Réserves!$B$2:$B$301,$A245,Réserves!$J$2:$J$301,"Ouverte")+COUNTIFS(Réserves!$B$2:$B$301,$A245,Réserves!$J$2:$J$301,"En retard"))</f>
      </c>
      <c r="K245" s="20">
        <f>IF($C245="","",IFERROR(INDEX('Référentiel'!$B$2:$B$83,MATCH($C245,'Référentiel'!$A$2:$A$83,0)),"Type hors liste"))</f>
      </c>
      <c r="L245" s="22">
        <f>IF($C245="","",IF(IFERROR(INDEX('Référentiel'!$C$2:$C$83,MATCH($C245,'Référentiel'!$A$2:$A$83,0)),0)=0,"",IFERROR(INDEX('Référentiel'!$C$2:$C$83,MATCH($C245,'Référentiel'!$A$2:$A$83,0)),0)))</f>
      </c>
      <c r="M245" s="23"/>
      <c r="N245" s="22">
        <f>IF($C245="","",IF(IF($M245&lt;&gt;"",IF($L245&lt;&gt;"",MIN($L245,$M245),$M245),IF($L245&lt;&gt;"",$L245,IF(IFERROR(INDEX('Référentiel'!$D$2:$D$83,MATCH($C245,'Référentiel'!$A$2:$A$83,0)),0)&gt;0,IFERROR(INDEX('Référentiel'!$D$2:$D$83,MATCH($C245,'Référentiel'!$A$2:$A$83,0)),0),"")))="","",IF(AND(IFERROR(INDEX('Référentiel'!$F$2:$F$83,MATCH($C245,'Référentiel'!$A$2:$A$83,0)),0)&gt;0,N($J245)&gt;0),MIN(IF($M245&lt;&gt;"",IF($L245&lt;&gt;"",MIN($L245,$M245),$M245),IF($L245&lt;&gt;"",$L245,IF(IFERROR(INDEX('Référentiel'!$D$2:$D$83,MATCH($C245,'Référentiel'!$A$2:$A$83,0)),0)&gt;0,IFERROR(INDEX('Référentiel'!$D$2:$D$83,MATCH($C245,'Référentiel'!$A$2:$A$83,0)),0),""))),IFERROR(INDEX('Référentiel'!$F$2:$F$83,MATCH($C245,'Référentiel'!$A$2:$A$83,0)),0)),IF($M245&lt;&gt;"",IF($L245&lt;&gt;"",MIN($L245,$M245),$M245),IF($L245&lt;&gt;"",$L245,IF(IFERROR(INDEX('Référentiel'!$D$2:$D$83,MATCH($C245,'Référentiel'!$A$2:$A$83,0)),0)&gt;0,IFERROR(INDEX('Référentiel'!$D$2:$D$83,MATCH($C245,'Référentiel'!$A$2:$A$83,0)),0),""))))))</f>
      </c>
      <c r="O245" s="9"/>
      <c r="P245" s="23"/>
      <c r="Q245" s="9"/>
      <c r="R245" s="24"/>
      <c r="S245" s="23"/>
      <c r="T245" s="23"/>
      <c r="U245" s="24"/>
      <c r="V245" s="20">
        <f>IF($C245="","",IFERROR(INDEX('Référentiel'!$K$2:$K$83,MATCH($C245,'Référentiel'!$A$2:$A$83,0)),""))</f>
      </c>
      <c r="W245" s="20">
        <f>IF(AND(ISNUMBER($G245),$I245&lt;&gt;"Hors service",$I245&lt;&gt;"Location terminée"),$G245+ROW()/100000,"")</f>
      </c>
      <c r="X245" s="9"/>
    </row>
    <row r="246" spans="1:24" x14ac:dyDescent="0.25">
      <c r="A246" s="9"/>
      <c r="B246" s="9"/>
      <c r="C246" s="9"/>
      <c r="D246" s="9"/>
      <c r="E246" s="19">
        <f>IF($A246="","",IF(SUMPRODUCT(MAX((Vérifications!$B$2:$B$1001=$A246)*Vérifications!$L$2:$L$1001))=0,"",SUMPRODUCT(MAX((Vérifications!$B$2:$B$1001=$A246)*Vérifications!$L$2:$L$1001))))</f>
      </c>
      <c r="F246" s="20">
        <f>IF($E246="","",IFERROR(INDEX(Vérifications!$E$2:$E$1001,MATCH($A246&amp;"|"&amp;$E246,Vérifications!$M$2:$M$1001,0)),""))</f>
      </c>
      <c r="G246" s="19">
        <f>IF($N246="","",IF(ISNUMBER($E246),EDATE($E246,$N246),IF(AND(ISNUMBER($U246),IFERROR(INDEX('Référentiel'!$E$2:$E$83,MATCH($C246,'Référentiel'!$A$2:$A$83,0)),0)&gt;0),EDATE($U246,IFERROR(INDEX('Référentiel'!$E$2:$E$83,MATCH($C246,'Référentiel'!$A$2:$A$83,0)),0)),"")))</f>
      </c>
      <c r="H246" s="21">
        <f>IF(ISNUMBER($G246),$G246-TODAY(),"")</f>
      </c>
      <c r="I246" s="20">
        <f>IF(AND($A246="",$C246=""),"",IF($T246="Non","Hors service",IF(AND($Q246="Location",ISNUMBER($R246),$R246&lt;TODAY()),"Location terminée",IF(OR($F246="Mise à l'arrêt",IF($A246="",0,SUMPRODUCT((Réserves!$B$2:$B$301=$A246)*(Réserves!$E$2:$E$301="Mise à l'arrêt")*(Réserves!$J$2:$J$301&lt;&gt;"Levée")*(Réserves!$J$2:$J$301&lt;&gt;"")))&gt;0),"Arrêt : réserve à lever",IF($C246="","Type à choisir",IF($N246="","Périodicité à saisir",IF(OR(ISTEXT($U246),ISTEXT($R246)),"Date à corriger",IF(AND($E246="",$Q246="Location",$S246&lt;&gt;"Oui"),"Rapport loueur à obtenir",IF(NOT(ISNUMBER($G246)),"Vérif. initiale à tracer",IF($H246&lt;0,"En retard",IF(AND($Q246="Location",$S246&lt;&gt;"Oui"),"Rapport loueur à obtenir",IF($H246&lt;='Tableau de bord'!$C$4,"À planifier","À jour"))))))))))))</f>
      </c>
      <c r="J246" s="22">
        <f>IF($A246="","",COUNTIFS(Réserves!$B$2:$B$301,$A246,Réserves!$J$2:$J$301,"Ouverte")+COUNTIFS(Réserves!$B$2:$B$301,$A246,Réserves!$J$2:$J$301,"En retard"))</f>
      </c>
      <c r="K246" s="20">
        <f>IF($C246="","",IFERROR(INDEX('Référentiel'!$B$2:$B$83,MATCH($C246,'Référentiel'!$A$2:$A$83,0)),"Type hors liste"))</f>
      </c>
      <c r="L246" s="22">
        <f>IF($C246="","",IF(IFERROR(INDEX('Référentiel'!$C$2:$C$83,MATCH($C246,'Référentiel'!$A$2:$A$83,0)),0)=0,"",IFERROR(INDEX('Référentiel'!$C$2:$C$83,MATCH($C246,'Référentiel'!$A$2:$A$83,0)),0)))</f>
      </c>
      <c r="M246" s="23"/>
      <c r="N246" s="22">
        <f>IF($C246="","",IF(IF($M246&lt;&gt;"",IF($L246&lt;&gt;"",MIN($L246,$M246),$M246),IF($L246&lt;&gt;"",$L246,IF(IFERROR(INDEX('Référentiel'!$D$2:$D$83,MATCH($C246,'Référentiel'!$A$2:$A$83,0)),0)&gt;0,IFERROR(INDEX('Référentiel'!$D$2:$D$83,MATCH($C246,'Référentiel'!$A$2:$A$83,0)),0),"")))="","",IF(AND(IFERROR(INDEX('Référentiel'!$F$2:$F$83,MATCH($C246,'Référentiel'!$A$2:$A$83,0)),0)&gt;0,N($J246)&gt;0),MIN(IF($M246&lt;&gt;"",IF($L246&lt;&gt;"",MIN($L246,$M246),$M246),IF($L246&lt;&gt;"",$L246,IF(IFERROR(INDEX('Référentiel'!$D$2:$D$83,MATCH($C246,'Référentiel'!$A$2:$A$83,0)),0)&gt;0,IFERROR(INDEX('Référentiel'!$D$2:$D$83,MATCH($C246,'Référentiel'!$A$2:$A$83,0)),0),""))),IFERROR(INDEX('Référentiel'!$F$2:$F$83,MATCH($C246,'Référentiel'!$A$2:$A$83,0)),0)),IF($M246&lt;&gt;"",IF($L246&lt;&gt;"",MIN($L246,$M246),$M246),IF($L246&lt;&gt;"",$L246,IF(IFERROR(INDEX('Référentiel'!$D$2:$D$83,MATCH($C246,'Référentiel'!$A$2:$A$83,0)),0)&gt;0,IFERROR(INDEX('Référentiel'!$D$2:$D$83,MATCH($C246,'Référentiel'!$A$2:$A$83,0)),0),""))))))</f>
      </c>
      <c r="O246" s="9"/>
      <c r="P246" s="23"/>
      <c r="Q246" s="9"/>
      <c r="R246" s="24"/>
      <c r="S246" s="23"/>
      <c r="T246" s="23"/>
      <c r="U246" s="24"/>
      <c r="V246" s="20">
        <f>IF($C246="","",IFERROR(INDEX('Référentiel'!$K$2:$K$83,MATCH($C246,'Référentiel'!$A$2:$A$83,0)),""))</f>
      </c>
      <c r="W246" s="20">
        <f>IF(AND(ISNUMBER($G246),$I246&lt;&gt;"Hors service",$I246&lt;&gt;"Location terminée"),$G246+ROW()/100000,"")</f>
      </c>
      <c r="X246" s="9"/>
    </row>
    <row r="247" spans="1:24" x14ac:dyDescent="0.25">
      <c r="A247" s="9"/>
      <c r="B247" s="9"/>
      <c r="C247" s="9"/>
      <c r="D247" s="9"/>
      <c r="E247" s="19">
        <f>IF($A247="","",IF(SUMPRODUCT(MAX((Vérifications!$B$2:$B$1001=$A247)*Vérifications!$L$2:$L$1001))=0,"",SUMPRODUCT(MAX((Vérifications!$B$2:$B$1001=$A247)*Vérifications!$L$2:$L$1001))))</f>
      </c>
      <c r="F247" s="20">
        <f>IF($E247="","",IFERROR(INDEX(Vérifications!$E$2:$E$1001,MATCH($A247&amp;"|"&amp;$E247,Vérifications!$M$2:$M$1001,0)),""))</f>
      </c>
      <c r="G247" s="19">
        <f>IF($N247="","",IF(ISNUMBER($E247),EDATE($E247,$N247),IF(AND(ISNUMBER($U247),IFERROR(INDEX('Référentiel'!$E$2:$E$83,MATCH($C247,'Référentiel'!$A$2:$A$83,0)),0)&gt;0),EDATE($U247,IFERROR(INDEX('Référentiel'!$E$2:$E$83,MATCH($C247,'Référentiel'!$A$2:$A$83,0)),0)),"")))</f>
      </c>
      <c r="H247" s="21">
        <f>IF(ISNUMBER($G247),$G247-TODAY(),"")</f>
      </c>
      <c r="I247" s="20">
        <f>IF(AND($A247="",$C247=""),"",IF($T247="Non","Hors service",IF(AND($Q247="Location",ISNUMBER($R247),$R247&lt;TODAY()),"Location terminée",IF(OR($F247="Mise à l'arrêt",IF($A247="",0,SUMPRODUCT((Réserves!$B$2:$B$301=$A247)*(Réserves!$E$2:$E$301="Mise à l'arrêt")*(Réserves!$J$2:$J$301&lt;&gt;"Levée")*(Réserves!$J$2:$J$301&lt;&gt;"")))&gt;0),"Arrêt : réserve à lever",IF($C247="","Type à choisir",IF($N247="","Périodicité à saisir",IF(OR(ISTEXT($U247),ISTEXT($R247)),"Date à corriger",IF(AND($E247="",$Q247="Location",$S247&lt;&gt;"Oui"),"Rapport loueur à obtenir",IF(NOT(ISNUMBER($G247)),"Vérif. initiale à tracer",IF($H247&lt;0,"En retard",IF(AND($Q247="Location",$S247&lt;&gt;"Oui"),"Rapport loueur à obtenir",IF($H247&lt;='Tableau de bord'!$C$4,"À planifier","À jour"))))))))))))</f>
      </c>
      <c r="J247" s="22">
        <f>IF($A247="","",COUNTIFS(Réserves!$B$2:$B$301,$A247,Réserves!$J$2:$J$301,"Ouverte")+COUNTIFS(Réserves!$B$2:$B$301,$A247,Réserves!$J$2:$J$301,"En retard"))</f>
      </c>
      <c r="K247" s="20">
        <f>IF($C247="","",IFERROR(INDEX('Référentiel'!$B$2:$B$83,MATCH($C247,'Référentiel'!$A$2:$A$83,0)),"Type hors liste"))</f>
      </c>
      <c r="L247" s="22">
        <f>IF($C247="","",IF(IFERROR(INDEX('Référentiel'!$C$2:$C$83,MATCH($C247,'Référentiel'!$A$2:$A$83,0)),0)=0,"",IFERROR(INDEX('Référentiel'!$C$2:$C$83,MATCH($C247,'Référentiel'!$A$2:$A$83,0)),0)))</f>
      </c>
      <c r="M247" s="23"/>
      <c r="N247" s="22">
        <f>IF($C247="","",IF(IF($M247&lt;&gt;"",IF($L247&lt;&gt;"",MIN($L247,$M247),$M247),IF($L247&lt;&gt;"",$L247,IF(IFERROR(INDEX('Référentiel'!$D$2:$D$83,MATCH($C247,'Référentiel'!$A$2:$A$83,0)),0)&gt;0,IFERROR(INDEX('Référentiel'!$D$2:$D$83,MATCH($C247,'Référentiel'!$A$2:$A$83,0)),0),"")))="","",IF(AND(IFERROR(INDEX('Référentiel'!$F$2:$F$83,MATCH($C247,'Référentiel'!$A$2:$A$83,0)),0)&gt;0,N($J247)&gt;0),MIN(IF($M247&lt;&gt;"",IF($L247&lt;&gt;"",MIN($L247,$M247),$M247),IF($L247&lt;&gt;"",$L247,IF(IFERROR(INDEX('Référentiel'!$D$2:$D$83,MATCH($C247,'Référentiel'!$A$2:$A$83,0)),0)&gt;0,IFERROR(INDEX('Référentiel'!$D$2:$D$83,MATCH($C247,'Référentiel'!$A$2:$A$83,0)),0),""))),IFERROR(INDEX('Référentiel'!$F$2:$F$83,MATCH($C247,'Référentiel'!$A$2:$A$83,0)),0)),IF($M247&lt;&gt;"",IF($L247&lt;&gt;"",MIN($L247,$M247),$M247),IF($L247&lt;&gt;"",$L247,IF(IFERROR(INDEX('Référentiel'!$D$2:$D$83,MATCH($C247,'Référentiel'!$A$2:$A$83,0)),0)&gt;0,IFERROR(INDEX('Référentiel'!$D$2:$D$83,MATCH($C247,'Référentiel'!$A$2:$A$83,0)),0),""))))))</f>
      </c>
      <c r="O247" s="9"/>
      <c r="P247" s="23"/>
      <c r="Q247" s="9"/>
      <c r="R247" s="24"/>
      <c r="S247" s="23"/>
      <c r="T247" s="23"/>
      <c r="U247" s="24"/>
      <c r="V247" s="20">
        <f>IF($C247="","",IFERROR(INDEX('Référentiel'!$K$2:$K$83,MATCH($C247,'Référentiel'!$A$2:$A$83,0)),""))</f>
      </c>
      <c r="W247" s="20">
        <f>IF(AND(ISNUMBER($G247),$I247&lt;&gt;"Hors service",$I247&lt;&gt;"Location terminée"),$G247+ROW()/100000,"")</f>
      </c>
      <c r="X247" s="9"/>
    </row>
    <row r="248" spans="1:24" x14ac:dyDescent="0.25">
      <c r="A248" s="9"/>
      <c r="B248" s="9"/>
      <c r="C248" s="9"/>
      <c r="D248" s="9"/>
      <c r="E248" s="19">
        <f>IF($A248="","",IF(SUMPRODUCT(MAX((Vérifications!$B$2:$B$1001=$A248)*Vérifications!$L$2:$L$1001))=0,"",SUMPRODUCT(MAX((Vérifications!$B$2:$B$1001=$A248)*Vérifications!$L$2:$L$1001))))</f>
      </c>
      <c r="F248" s="20">
        <f>IF($E248="","",IFERROR(INDEX(Vérifications!$E$2:$E$1001,MATCH($A248&amp;"|"&amp;$E248,Vérifications!$M$2:$M$1001,0)),""))</f>
      </c>
      <c r="G248" s="19">
        <f>IF($N248="","",IF(ISNUMBER($E248),EDATE($E248,$N248),IF(AND(ISNUMBER($U248),IFERROR(INDEX('Référentiel'!$E$2:$E$83,MATCH($C248,'Référentiel'!$A$2:$A$83,0)),0)&gt;0),EDATE($U248,IFERROR(INDEX('Référentiel'!$E$2:$E$83,MATCH($C248,'Référentiel'!$A$2:$A$83,0)),0)),"")))</f>
      </c>
      <c r="H248" s="21">
        <f>IF(ISNUMBER($G248),$G248-TODAY(),"")</f>
      </c>
      <c r="I248" s="20">
        <f>IF(AND($A248="",$C248=""),"",IF($T248="Non","Hors service",IF(AND($Q248="Location",ISNUMBER($R248),$R248&lt;TODAY()),"Location terminée",IF(OR($F248="Mise à l'arrêt",IF($A248="",0,SUMPRODUCT((Réserves!$B$2:$B$301=$A248)*(Réserves!$E$2:$E$301="Mise à l'arrêt")*(Réserves!$J$2:$J$301&lt;&gt;"Levée")*(Réserves!$J$2:$J$301&lt;&gt;"")))&gt;0),"Arrêt : réserve à lever",IF($C248="","Type à choisir",IF($N248="","Périodicité à saisir",IF(OR(ISTEXT($U248),ISTEXT($R248)),"Date à corriger",IF(AND($E248="",$Q248="Location",$S248&lt;&gt;"Oui"),"Rapport loueur à obtenir",IF(NOT(ISNUMBER($G248)),"Vérif. initiale à tracer",IF($H248&lt;0,"En retard",IF(AND($Q248="Location",$S248&lt;&gt;"Oui"),"Rapport loueur à obtenir",IF($H248&lt;='Tableau de bord'!$C$4,"À planifier","À jour"))))))))))))</f>
      </c>
      <c r="J248" s="22">
        <f>IF($A248="","",COUNTIFS(Réserves!$B$2:$B$301,$A248,Réserves!$J$2:$J$301,"Ouverte")+COUNTIFS(Réserves!$B$2:$B$301,$A248,Réserves!$J$2:$J$301,"En retard"))</f>
      </c>
      <c r="K248" s="20">
        <f>IF($C248="","",IFERROR(INDEX('Référentiel'!$B$2:$B$83,MATCH($C248,'Référentiel'!$A$2:$A$83,0)),"Type hors liste"))</f>
      </c>
      <c r="L248" s="22">
        <f>IF($C248="","",IF(IFERROR(INDEX('Référentiel'!$C$2:$C$83,MATCH($C248,'Référentiel'!$A$2:$A$83,0)),0)=0,"",IFERROR(INDEX('Référentiel'!$C$2:$C$83,MATCH($C248,'Référentiel'!$A$2:$A$83,0)),0)))</f>
      </c>
      <c r="M248" s="23"/>
      <c r="N248" s="22">
        <f>IF($C248="","",IF(IF($M248&lt;&gt;"",IF($L248&lt;&gt;"",MIN($L248,$M248),$M248),IF($L248&lt;&gt;"",$L248,IF(IFERROR(INDEX('Référentiel'!$D$2:$D$83,MATCH($C248,'Référentiel'!$A$2:$A$83,0)),0)&gt;0,IFERROR(INDEX('Référentiel'!$D$2:$D$83,MATCH($C248,'Référentiel'!$A$2:$A$83,0)),0),"")))="","",IF(AND(IFERROR(INDEX('Référentiel'!$F$2:$F$83,MATCH($C248,'Référentiel'!$A$2:$A$83,0)),0)&gt;0,N($J248)&gt;0),MIN(IF($M248&lt;&gt;"",IF($L248&lt;&gt;"",MIN($L248,$M248),$M248),IF($L248&lt;&gt;"",$L248,IF(IFERROR(INDEX('Référentiel'!$D$2:$D$83,MATCH($C248,'Référentiel'!$A$2:$A$83,0)),0)&gt;0,IFERROR(INDEX('Référentiel'!$D$2:$D$83,MATCH($C248,'Référentiel'!$A$2:$A$83,0)),0),""))),IFERROR(INDEX('Référentiel'!$F$2:$F$83,MATCH($C248,'Référentiel'!$A$2:$A$83,0)),0)),IF($M248&lt;&gt;"",IF($L248&lt;&gt;"",MIN($L248,$M248),$M248),IF($L248&lt;&gt;"",$L248,IF(IFERROR(INDEX('Référentiel'!$D$2:$D$83,MATCH($C248,'Référentiel'!$A$2:$A$83,0)),0)&gt;0,IFERROR(INDEX('Référentiel'!$D$2:$D$83,MATCH($C248,'Référentiel'!$A$2:$A$83,0)),0),""))))))</f>
      </c>
      <c r="O248" s="9"/>
      <c r="P248" s="23"/>
      <c r="Q248" s="9"/>
      <c r="R248" s="24"/>
      <c r="S248" s="23"/>
      <c r="T248" s="23"/>
      <c r="U248" s="24"/>
      <c r="V248" s="20">
        <f>IF($C248="","",IFERROR(INDEX('Référentiel'!$K$2:$K$83,MATCH($C248,'Référentiel'!$A$2:$A$83,0)),""))</f>
      </c>
      <c r="W248" s="20">
        <f>IF(AND(ISNUMBER($G248),$I248&lt;&gt;"Hors service",$I248&lt;&gt;"Location terminée"),$G248+ROW()/100000,"")</f>
      </c>
      <c r="X248" s="9"/>
    </row>
    <row r="249" spans="1:24" x14ac:dyDescent="0.25">
      <c r="A249" s="9"/>
      <c r="B249" s="9"/>
      <c r="C249" s="9"/>
      <c r="D249" s="9"/>
      <c r="E249" s="19">
        <f>IF($A249="","",IF(SUMPRODUCT(MAX((Vérifications!$B$2:$B$1001=$A249)*Vérifications!$L$2:$L$1001))=0,"",SUMPRODUCT(MAX((Vérifications!$B$2:$B$1001=$A249)*Vérifications!$L$2:$L$1001))))</f>
      </c>
      <c r="F249" s="20">
        <f>IF($E249="","",IFERROR(INDEX(Vérifications!$E$2:$E$1001,MATCH($A249&amp;"|"&amp;$E249,Vérifications!$M$2:$M$1001,0)),""))</f>
      </c>
      <c r="G249" s="19">
        <f>IF($N249="","",IF(ISNUMBER($E249),EDATE($E249,$N249),IF(AND(ISNUMBER($U249),IFERROR(INDEX('Référentiel'!$E$2:$E$83,MATCH($C249,'Référentiel'!$A$2:$A$83,0)),0)&gt;0),EDATE($U249,IFERROR(INDEX('Référentiel'!$E$2:$E$83,MATCH($C249,'Référentiel'!$A$2:$A$83,0)),0)),"")))</f>
      </c>
      <c r="H249" s="21">
        <f>IF(ISNUMBER($G249),$G249-TODAY(),"")</f>
      </c>
      <c r="I249" s="20">
        <f>IF(AND($A249="",$C249=""),"",IF($T249="Non","Hors service",IF(AND($Q249="Location",ISNUMBER($R249),$R249&lt;TODAY()),"Location terminée",IF(OR($F249="Mise à l'arrêt",IF($A249="",0,SUMPRODUCT((Réserves!$B$2:$B$301=$A249)*(Réserves!$E$2:$E$301="Mise à l'arrêt")*(Réserves!$J$2:$J$301&lt;&gt;"Levée")*(Réserves!$J$2:$J$301&lt;&gt;"")))&gt;0),"Arrêt : réserve à lever",IF($C249="","Type à choisir",IF($N249="","Périodicité à saisir",IF(OR(ISTEXT($U249),ISTEXT($R249)),"Date à corriger",IF(AND($E249="",$Q249="Location",$S249&lt;&gt;"Oui"),"Rapport loueur à obtenir",IF(NOT(ISNUMBER($G249)),"Vérif. initiale à tracer",IF($H249&lt;0,"En retard",IF(AND($Q249="Location",$S249&lt;&gt;"Oui"),"Rapport loueur à obtenir",IF($H249&lt;='Tableau de bord'!$C$4,"À planifier","À jour"))))))))))))</f>
      </c>
      <c r="J249" s="22">
        <f>IF($A249="","",COUNTIFS(Réserves!$B$2:$B$301,$A249,Réserves!$J$2:$J$301,"Ouverte")+COUNTIFS(Réserves!$B$2:$B$301,$A249,Réserves!$J$2:$J$301,"En retard"))</f>
      </c>
      <c r="K249" s="20">
        <f>IF($C249="","",IFERROR(INDEX('Référentiel'!$B$2:$B$83,MATCH($C249,'Référentiel'!$A$2:$A$83,0)),"Type hors liste"))</f>
      </c>
      <c r="L249" s="22">
        <f>IF($C249="","",IF(IFERROR(INDEX('Référentiel'!$C$2:$C$83,MATCH($C249,'Référentiel'!$A$2:$A$83,0)),0)=0,"",IFERROR(INDEX('Référentiel'!$C$2:$C$83,MATCH($C249,'Référentiel'!$A$2:$A$83,0)),0)))</f>
      </c>
      <c r="M249" s="23"/>
      <c r="N249" s="22">
        <f>IF($C249="","",IF(IF($M249&lt;&gt;"",IF($L249&lt;&gt;"",MIN($L249,$M249),$M249),IF($L249&lt;&gt;"",$L249,IF(IFERROR(INDEX('Référentiel'!$D$2:$D$83,MATCH($C249,'Référentiel'!$A$2:$A$83,0)),0)&gt;0,IFERROR(INDEX('Référentiel'!$D$2:$D$83,MATCH($C249,'Référentiel'!$A$2:$A$83,0)),0),"")))="","",IF(AND(IFERROR(INDEX('Référentiel'!$F$2:$F$83,MATCH($C249,'Référentiel'!$A$2:$A$83,0)),0)&gt;0,N($J249)&gt;0),MIN(IF($M249&lt;&gt;"",IF($L249&lt;&gt;"",MIN($L249,$M249),$M249),IF($L249&lt;&gt;"",$L249,IF(IFERROR(INDEX('Référentiel'!$D$2:$D$83,MATCH($C249,'Référentiel'!$A$2:$A$83,0)),0)&gt;0,IFERROR(INDEX('Référentiel'!$D$2:$D$83,MATCH($C249,'Référentiel'!$A$2:$A$83,0)),0),""))),IFERROR(INDEX('Référentiel'!$F$2:$F$83,MATCH($C249,'Référentiel'!$A$2:$A$83,0)),0)),IF($M249&lt;&gt;"",IF($L249&lt;&gt;"",MIN($L249,$M249),$M249),IF($L249&lt;&gt;"",$L249,IF(IFERROR(INDEX('Référentiel'!$D$2:$D$83,MATCH($C249,'Référentiel'!$A$2:$A$83,0)),0)&gt;0,IFERROR(INDEX('Référentiel'!$D$2:$D$83,MATCH($C249,'Référentiel'!$A$2:$A$83,0)),0),""))))))</f>
      </c>
      <c r="O249" s="9"/>
      <c r="P249" s="23"/>
      <c r="Q249" s="9"/>
      <c r="R249" s="24"/>
      <c r="S249" s="23"/>
      <c r="T249" s="23"/>
      <c r="U249" s="24"/>
      <c r="V249" s="20">
        <f>IF($C249="","",IFERROR(INDEX('Référentiel'!$K$2:$K$83,MATCH($C249,'Référentiel'!$A$2:$A$83,0)),""))</f>
      </c>
      <c r="W249" s="20">
        <f>IF(AND(ISNUMBER($G249),$I249&lt;&gt;"Hors service",$I249&lt;&gt;"Location terminée"),$G249+ROW()/100000,"")</f>
      </c>
      <c r="X249" s="9"/>
    </row>
    <row r="250" spans="1:24" x14ac:dyDescent="0.25">
      <c r="A250" s="9"/>
      <c r="B250" s="9"/>
      <c r="C250" s="9"/>
      <c r="D250" s="9"/>
      <c r="E250" s="19">
        <f>IF($A250="","",IF(SUMPRODUCT(MAX((Vérifications!$B$2:$B$1001=$A250)*Vérifications!$L$2:$L$1001))=0,"",SUMPRODUCT(MAX((Vérifications!$B$2:$B$1001=$A250)*Vérifications!$L$2:$L$1001))))</f>
      </c>
      <c r="F250" s="20">
        <f>IF($E250="","",IFERROR(INDEX(Vérifications!$E$2:$E$1001,MATCH($A250&amp;"|"&amp;$E250,Vérifications!$M$2:$M$1001,0)),""))</f>
      </c>
      <c r="G250" s="19">
        <f>IF($N250="","",IF(ISNUMBER($E250),EDATE($E250,$N250),IF(AND(ISNUMBER($U250),IFERROR(INDEX('Référentiel'!$E$2:$E$83,MATCH($C250,'Référentiel'!$A$2:$A$83,0)),0)&gt;0),EDATE($U250,IFERROR(INDEX('Référentiel'!$E$2:$E$83,MATCH($C250,'Référentiel'!$A$2:$A$83,0)),0)),"")))</f>
      </c>
      <c r="H250" s="21">
        <f>IF(ISNUMBER($G250),$G250-TODAY(),"")</f>
      </c>
      <c r="I250" s="20">
        <f>IF(AND($A250="",$C250=""),"",IF($T250="Non","Hors service",IF(AND($Q250="Location",ISNUMBER($R250),$R250&lt;TODAY()),"Location terminée",IF(OR($F250="Mise à l'arrêt",IF($A250="",0,SUMPRODUCT((Réserves!$B$2:$B$301=$A250)*(Réserves!$E$2:$E$301="Mise à l'arrêt")*(Réserves!$J$2:$J$301&lt;&gt;"Levée")*(Réserves!$J$2:$J$301&lt;&gt;"")))&gt;0),"Arrêt : réserve à lever",IF($C250="","Type à choisir",IF($N250="","Périodicité à saisir",IF(OR(ISTEXT($U250),ISTEXT($R250)),"Date à corriger",IF(AND($E250="",$Q250="Location",$S250&lt;&gt;"Oui"),"Rapport loueur à obtenir",IF(NOT(ISNUMBER($G250)),"Vérif. initiale à tracer",IF($H250&lt;0,"En retard",IF(AND($Q250="Location",$S250&lt;&gt;"Oui"),"Rapport loueur à obtenir",IF($H250&lt;='Tableau de bord'!$C$4,"À planifier","À jour"))))))))))))</f>
      </c>
      <c r="J250" s="22">
        <f>IF($A250="","",COUNTIFS(Réserves!$B$2:$B$301,$A250,Réserves!$J$2:$J$301,"Ouverte")+COUNTIFS(Réserves!$B$2:$B$301,$A250,Réserves!$J$2:$J$301,"En retard"))</f>
      </c>
      <c r="K250" s="20">
        <f>IF($C250="","",IFERROR(INDEX('Référentiel'!$B$2:$B$83,MATCH($C250,'Référentiel'!$A$2:$A$83,0)),"Type hors liste"))</f>
      </c>
      <c r="L250" s="22">
        <f>IF($C250="","",IF(IFERROR(INDEX('Référentiel'!$C$2:$C$83,MATCH($C250,'Référentiel'!$A$2:$A$83,0)),0)=0,"",IFERROR(INDEX('Référentiel'!$C$2:$C$83,MATCH($C250,'Référentiel'!$A$2:$A$83,0)),0)))</f>
      </c>
      <c r="M250" s="23"/>
      <c r="N250" s="22">
        <f>IF($C250="","",IF(IF($M250&lt;&gt;"",IF($L250&lt;&gt;"",MIN($L250,$M250),$M250),IF($L250&lt;&gt;"",$L250,IF(IFERROR(INDEX('Référentiel'!$D$2:$D$83,MATCH($C250,'Référentiel'!$A$2:$A$83,0)),0)&gt;0,IFERROR(INDEX('Référentiel'!$D$2:$D$83,MATCH($C250,'Référentiel'!$A$2:$A$83,0)),0),"")))="","",IF(AND(IFERROR(INDEX('Référentiel'!$F$2:$F$83,MATCH($C250,'Référentiel'!$A$2:$A$83,0)),0)&gt;0,N($J250)&gt;0),MIN(IF($M250&lt;&gt;"",IF($L250&lt;&gt;"",MIN($L250,$M250),$M250),IF($L250&lt;&gt;"",$L250,IF(IFERROR(INDEX('Référentiel'!$D$2:$D$83,MATCH($C250,'Référentiel'!$A$2:$A$83,0)),0)&gt;0,IFERROR(INDEX('Référentiel'!$D$2:$D$83,MATCH($C250,'Référentiel'!$A$2:$A$83,0)),0),""))),IFERROR(INDEX('Référentiel'!$F$2:$F$83,MATCH($C250,'Référentiel'!$A$2:$A$83,0)),0)),IF($M250&lt;&gt;"",IF($L250&lt;&gt;"",MIN($L250,$M250),$M250),IF($L250&lt;&gt;"",$L250,IF(IFERROR(INDEX('Référentiel'!$D$2:$D$83,MATCH($C250,'Référentiel'!$A$2:$A$83,0)),0)&gt;0,IFERROR(INDEX('Référentiel'!$D$2:$D$83,MATCH($C250,'Référentiel'!$A$2:$A$83,0)),0),""))))))</f>
      </c>
      <c r="O250" s="9"/>
      <c r="P250" s="23"/>
      <c r="Q250" s="9"/>
      <c r="R250" s="24"/>
      <c r="S250" s="23"/>
      <c r="T250" s="23"/>
      <c r="U250" s="24"/>
      <c r="V250" s="20">
        <f>IF($C250="","",IFERROR(INDEX('Référentiel'!$K$2:$K$83,MATCH($C250,'Référentiel'!$A$2:$A$83,0)),""))</f>
      </c>
      <c r="W250" s="20">
        <f>IF(AND(ISNUMBER($G250),$I250&lt;&gt;"Hors service",$I250&lt;&gt;"Location terminée"),$G250+ROW()/100000,"")</f>
      </c>
      <c r="X250" s="9"/>
    </row>
    <row r="251" spans="1:24" x14ac:dyDescent="0.25">
      <c r="A251" s="9"/>
      <c r="B251" s="9"/>
      <c r="C251" s="9"/>
      <c r="D251" s="9"/>
      <c r="E251" s="19">
        <f>IF($A251="","",IF(SUMPRODUCT(MAX((Vérifications!$B$2:$B$1001=$A251)*Vérifications!$L$2:$L$1001))=0,"",SUMPRODUCT(MAX((Vérifications!$B$2:$B$1001=$A251)*Vérifications!$L$2:$L$1001))))</f>
      </c>
      <c r="F251" s="20">
        <f>IF($E251="","",IFERROR(INDEX(Vérifications!$E$2:$E$1001,MATCH($A251&amp;"|"&amp;$E251,Vérifications!$M$2:$M$1001,0)),""))</f>
      </c>
      <c r="G251" s="19">
        <f>IF($N251="","",IF(ISNUMBER($E251),EDATE($E251,$N251),IF(AND(ISNUMBER($U251),IFERROR(INDEX('Référentiel'!$E$2:$E$83,MATCH($C251,'Référentiel'!$A$2:$A$83,0)),0)&gt;0),EDATE($U251,IFERROR(INDEX('Référentiel'!$E$2:$E$83,MATCH($C251,'Référentiel'!$A$2:$A$83,0)),0)),"")))</f>
      </c>
      <c r="H251" s="21">
        <f>IF(ISNUMBER($G251),$G251-TODAY(),"")</f>
      </c>
      <c r="I251" s="20">
        <f>IF(AND($A251="",$C251=""),"",IF($T251="Non","Hors service",IF(AND($Q251="Location",ISNUMBER($R251),$R251&lt;TODAY()),"Location terminée",IF(OR($F251="Mise à l'arrêt",IF($A251="",0,SUMPRODUCT((Réserves!$B$2:$B$301=$A251)*(Réserves!$E$2:$E$301="Mise à l'arrêt")*(Réserves!$J$2:$J$301&lt;&gt;"Levée")*(Réserves!$J$2:$J$301&lt;&gt;"")))&gt;0),"Arrêt : réserve à lever",IF($C251="","Type à choisir",IF($N251="","Périodicité à saisir",IF(OR(ISTEXT($U251),ISTEXT($R251)),"Date à corriger",IF(AND($E251="",$Q251="Location",$S251&lt;&gt;"Oui"),"Rapport loueur à obtenir",IF(NOT(ISNUMBER($G251)),"Vérif. initiale à tracer",IF($H251&lt;0,"En retard",IF(AND($Q251="Location",$S251&lt;&gt;"Oui"),"Rapport loueur à obtenir",IF($H251&lt;='Tableau de bord'!$C$4,"À planifier","À jour"))))))))))))</f>
      </c>
      <c r="J251" s="22">
        <f>IF($A251="","",COUNTIFS(Réserves!$B$2:$B$301,$A251,Réserves!$J$2:$J$301,"Ouverte")+COUNTIFS(Réserves!$B$2:$B$301,$A251,Réserves!$J$2:$J$301,"En retard"))</f>
      </c>
      <c r="K251" s="20">
        <f>IF($C251="","",IFERROR(INDEX('Référentiel'!$B$2:$B$83,MATCH($C251,'Référentiel'!$A$2:$A$83,0)),"Type hors liste"))</f>
      </c>
      <c r="L251" s="22">
        <f>IF($C251="","",IF(IFERROR(INDEX('Référentiel'!$C$2:$C$83,MATCH($C251,'Référentiel'!$A$2:$A$83,0)),0)=0,"",IFERROR(INDEX('Référentiel'!$C$2:$C$83,MATCH($C251,'Référentiel'!$A$2:$A$83,0)),0)))</f>
      </c>
      <c r="M251" s="23"/>
      <c r="N251" s="22">
        <f>IF($C251="","",IF(IF($M251&lt;&gt;"",IF($L251&lt;&gt;"",MIN($L251,$M251),$M251),IF($L251&lt;&gt;"",$L251,IF(IFERROR(INDEX('Référentiel'!$D$2:$D$83,MATCH($C251,'Référentiel'!$A$2:$A$83,0)),0)&gt;0,IFERROR(INDEX('Référentiel'!$D$2:$D$83,MATCH($C251,'Référentiel'!$A$2:$A$83,0)),0),"")))="","",IF(AND(IFERROR(INDEX('Référentiel'!$F$2:$F$83,MATCH($C251,'Référentiel'!$A$2:$A$83,0)),0)&gt;0,N($J251)&gt;0),MIN(IF($M251&lt;&gt;"",IF($L251&lt;&gt;"",MIN($L251,$M251),$M251),IF($L251&lt;&gt;"",$L251,IF(IFERROR(INDEX('Référentiel'!$D$2:$D$83,MATCH($C251,'Référentiel'!$A$2:$A$83,0)),0)&gt;0,IFERROR(INDEX('Référentiel'!$D$2:$D$83,MATCH($C251,'Référentiel'!$A$2:$A$83,0)),0),""))),IFERROR(INDEX('Référentiel'!$F$2:$F$83,MATCH($C251,'Référentiel'!$A$2:$A$83,0)),0)),IF($M251&lt;&gt;"",IF($L251&lt;&gt;"",MIN($L251,$M251),$M251),IF($L251&lt;&gt;"",$L251,IF(IFERROR(INDEX('Référentiel'!$D$2:$D$83,MATCH($C251,'Référentiel'!$A$2:$A$83,0)),0)&gt;0,IFERROR(INDEX('Référentiel'!$D$2:$D$83,MATCH($C251,'Référentiel'!$A$2:$A$83,0)),0),""))))))</f>
      </c>
      <c r="O251" s="9"/>
      <c r="P251" s="23"/>
      <c r="Q251" s="9"/>
      <c r="R251" s="24"/>
      <c r="S251" s="23"/>
      <c r="T251" s="23"/>
      <c r="U251" s="24"/>
      <c r="V251" s="20">
        <f>IF($C251="","",IFERROR(INDEX('Référentiel'!$K$2:$K$83,MATCH($C251,'Référentiel'!$A$2:$A$83,0)),""))</f>
      </c>
      <c r="W251" s="20">
        <f>IF(AND(ISNUMBER($G251),$I251&lt;&gt;"Hors service",$I251&lt;&gt;"Location terminée"),$G251+ROW()/100000,"")</f>
      </c>
      <c r="X251" s="9"/>
    </row>
    <row r="252" spans="1:24" x14ac:dyDescent="0.25">
      <c r="A252" s="9"/>
      <c r="B252" s="9"/>
      <c r="C252" s="9"/>
      <c r="D252" s="9"/>
      <c r="E252" s="19">
        <f>IF($A252="","",IF(SUMPRODUCT(MAX((Vérifications!$B$2:$B$1001=$A252)*Vérifications!$L$2:$L$1001))=0,"",SUMPRODUCT(MAX((Vérifications!$B$2:$B$1001=$A252)*Vérifications!$L$2:$L$1001))))</f>
      </c>
      <c r="F252" s="20">
        <f>IF($E252="","",IFERROR(INDEX(Vérifications!$E$2:$E$1001,MATCH($A252&amp;"|"&amp;$E252,Vérifications!$M$2:$M$1001,0)),""))</f>
      </c>
      <c r="G252" s="19">
        <f>IF($N252="","",IF(ISNUMBER($E252),EDATE($E252,$N252),IF(AND(ISNUMBER($U252),IFERROR(INDEX('Référentiel'!$E$2:$E$83,MATCH($C252,'Référentiel'!$A$2:$A$83,0)),0)&gt;0),EDATE($U252,IFERROR(INDEX('Référentiel'!$E$2:$E$83,MATCH($C252,'Référentiel'!$A$2:$A$83,0)),0)),"")))</f>
      </c>
      <c r="H252" s="21">
        <f>IF(ISNUMBER($G252),$G252-TODAY(),"")</f>
      </c>
      <c r="I252" s="20">
        <f>IF(AND($A252="",$C252=""),"",IF($T252="Non","Hors service",IF(AND($Q252="Location",ISNUMBER($R252),$R252&lt;TODAY()),"Location terminée",IF(OR($F252="Mise à l'arrêt",IF($A252="",0,SUMPRODUCT((Réserves!$B$2:$B$301=$A252)*(Réserves!$E$2:$E$301="Mise à l'arrêt")*(Réserves!$J$2:$J$301&lt;&gt;"Levée")*(Réserves!$J$2:$J$301&lt;&gt;"")))&gt;0),"Arrêt : réserve à lever",IF($C252="","Type à choisir",IF($N252="","Périodicité à saisir",IF(OR(ISTEXT($U252),ISTEXT($R252)),"Date à corriger",IF(AND($E252="",$Q252="Location",$S252&lt;&gt;"Oui"),"Rapport loueur à obtenir",IF(NOT(ISNUMBER($G252)),"Vérif. initiale à tracer",IF($H252&lt;0,"En retard",IF(AND($Q252="Location",$S252&lt;&gt;"Oui"),"Rapport loueur à obtenir",IF($H252&lt;='Tableau de bord'!$C$4,"À planifier","À jour"))))))))))))</f>
      </c>
      <c r="J252" s="22">
        <f>IF($A252="","",COUNTIFS(Réserves!$B$2:$B$301,$A252,Réserves!$J$2:$J$301,"Ouverte")+COUNTIFS(Réserves!$B$2:$B$301,$A252,Réserves!$J$2:$J$301,"En retard"))</f>
      </c>
      <c r="K252" s="20">
        <f>IF($C252="","",IFERROR(INDEX('Référentiel'!$B$2:$B$83,MATCH($C252,'Référentiel'!$A$2:$A$83,0)),"Type hors liste"))</f>
      </c>
      <c r="L252" s="22">
        <f>IF($C252="","",IF(IFERROR(INDEX('Référentiel'!$C$2:$C$83,MATCH($C252,'Référentiel'!$A$2:$A$83,0)),0)=0,"",IFERROR(INDEX('Référentiel'!$C$2:$C$83,MATCH($C252,'Référentiel'!$A$2:$A$83,0)),0)))</f>
      </c>
      <c r="M252" s="23"/>
      <c r="N252" s="22">
        <f>IF($C252="","",IF(IF($M252&lt;&gt;"",IF($L252&lt;&gt;"",MIN($L252,$M252),$M252),IF($L252&lt;&gt;"",$L252,IF(IFERROR(INDEX('Référentiel'!$D$2:$D$83,MATCH($C252,'Référentiel'!$A$2:$A$83,0)),0)&gt;0,IFERROR(INDEX('Référentiel'!$D$2:$D$83,MATCH($C252,'Référentiel'!$A$2:$A$83,0)),0),"")))="","",IF(AND(IFERROR(INDEX('Référentiel'!$F$2:$F$83,MATCH($C252,'Référentiel'!$A$2:$A$83,0)),0)&gt;0,N($J252)&gt;0),MIN(IF($M252&lt;&gt;"",IF($L252&lt;&gt;"",MIN($L252,$M252),$M252),IF($L252&lt;&gt;"",$L252,IF(IFERROR(INDEX('Référentiel'!$D$2:$D$83,MATCH($C252,'Référentiel'!$A$2:$A$83,0)),0)&gt;0,IFERROR(INDEX('Référentiel'!$D$2:$D$83,MATCH($C252,'Référentiel'!$A$2:$A$83,0)),0),""))),IFERROR(INDEX('Référentiel'!$F$2:$F$83,MATCH($C252,'Référentiel'!$A$2:$A$83,0)),0)),IF($M252&lt;&gt;"",IF($L252&lt;&gt;"",MIN($L252,$M252),$M252),IF($L252&lt;&gt;"",$L252,IF(IFERROR(INDEX('Référentiel'!$D$2:$D$83,MATCH($C252,'Référentiel'!$A$2:$A$83,0)),0)&gt;0,IFERROR(INDEX('Référentiel'!$D$2:$D$83,MATCH($C252,'Référentiel'!$A$2:$A$83,0)),0),""))))))</f>
      </c>
      <c r="O252" s="9"/>
      <c r="P252" s="23"/>
      <c r="Q252" s="9"/>
      <c r="R252" s="24"/>
      <c r="S252" s="23"/>
      <c r="T252" s="23"/>
      <c r="U252" s="24"/>
      <c r="V252" s="20">
        <f>IF($C252="","",IFERROR(INDEX('Référentiel'!$K$2:$K$83,MATCH($C252,'Référentiel'!$A$2:$A$83,0)),""))</f>
      </c>
      <c r="W252" s="20">
        <f>IF(AND(ISNUMBER($G252),$I252&lt;&gt;"Hors service",$I252&lt;&gt;"Location terminée"),$G252+ROW()/100000,"")</f>
      </c>
      <c r="X252" s="9"/>
    </row>
    <row r="253" spans="1:24" x14ac:dyDescent="0.25">
      <c r="A253" s="9"/>
      <c r="B253" s="9"/>
      <c r="C253" s="9"/>
      <c r="D253" s="9"/>
      <c r="E253" s="19">
        <f>IF($A253="","",IF(SUMPRODUCT(MAX((Vérifications!$B$2:$B$1001=$A253)*Vérifications!$L$2:$L$1001))=0,"",SUMPRODUCT(MAX((Vérifications!$B$2:$B$1001=$A253)*Vérifications!$L$2:$L$1001))))</f>
      </c>
      <c r="F253" s="20">
        <f>IF($E253="","",IFERROR(INDEX(Vérifications!$E$2:$E$1001,MATCH($A253&amp;"|"&amp;$E253,Vérifications!$M$2:$M$1001,0)),""))</f>
      </c>
      <c r="G253" s="19">
        <f>IF($N253="","",IF(ISNUMBER($E253),EDATE($E253,$N253),IF(AND(ISNUMBER($U253),IFERROR(INDEX('Référentiel'!$E$2:$E$83,MATCH($C253,'Référentiel'!$A$2:$A$83,0)),0)&gt;0),EDATE($U253,IFERROR(INDEX('Référentiel'!$E$2:$E$83,MATCH($C253,'Référentiel'!$A$2:$A$83,0)),0)),"")))</f>
      </c>
      <c r="H253" s="21">
        <f>IF(ISNUMBER($G253),$G253-TODAY(),"")</f>
      </c>
      <c r="I253" s="20">
        <f>IF(AND($A253="",$C253=""),"",IF($T253="Non","Hors service",IF(AND($Q253="Location",ISNUMBER($R253),$R253&lt;TODAY()),"Location terminée",IF(OR($F253="Mise à l'arrêt",IF($A253="",0,SUMPRODUCT((Réserves!$B$2:$B$301=$A253)*(Réserves!$E$2:$E$301="Mise à l'arrêt")*(Réserves!$J$2:$J$301&lt;&gt;"Levée")*(Réserves!$J$2:$J$301&lt;&gt;"")))&gt;0),"Arrêt : réserve à lever",IF($C253="","Type à choisir",IF($N253="","Périodicité à saisir",IF(OR(ISTEXT($U253),ISTEXT($R253)),"Date à corriger",IF(AND($E253="",$Q253="Location",$S253&lt;&gt;"Oui"),"Rapport loueur à obtenir",IF(NOT(ISNUMBER($G253)),"Vérif. initiale à tracer",IF($H253&lt;0,"En retard",IF(AND($Q253="Location",$S253&lt;&gt;"Oui"),"Rapport loueur à obtenir",IF($H253&lt;='Tableau de bord'!$C$4,"À planifier","À jour"))))))))))))</f>
      </c>
      <c r="J253" s="22">
        <f>IF($A253="","",COUNTIFS(Réserves!$B$2:$B$301,$A253,Réserves!$J$2:$J$301,"Ouverte")+COUNTIFS(Réserves!$B$2:$B$301,$A253,Réserves!$J$2:$J$301,"En retard"))</f>
      </c>
      <c r="K253" s="20">
        <f>IF($C253="","",IFERROR(INDEX('Référentiel'!$B$2:$B$83,MATCH($C253,'Référentiel'!$A$2:$A$83,0)),"Type hors liste"))</f>
      </c>
      <c r="L253" s="22">
        <f>IF($C253="","",IF(IFERROR(INDEX('Référentiel'!$C$2:$C$83,MATCH($C253,'Référentiel'!$A$2:$A$83,0)),0)=0,"",IFERROR(INDEX('Référentiel'!$C$2:$C$83,MATCH($C253,'Référentiel'!$A$2:$A$83,0)),0)))</f>
      </c>
      <c r="M253" s="23"/>
      <c r="N253" s="22">
        <f>IF($C253="","",IF(IF($M253&lt;&gt;"",IF($L253&lt;&gt;"",MIN($L253,$M253),$M253),IF($L253&lt;&gt;"",$L253,IF(IFERROR(INDEX('Référentiel'!$D$2:$D$83,MATCH($C253,'Référentiel'!$A$2:$A$83,0)),0)&gt;0,IFERROR(INDEX('Référentiel'!$D$2:$D$83,MATCH($C253,'Référentiel'!$A$2:$A$83,0)),0),"")))="","",IF(AND(IFERROR(INDEX('Référentiel'!$F$2:$F$83,MATCH($C253,'Référentiel'!$A$2:$A$83,0)),0)&gt;0,N($J253)&gt;0),MIN(IF($M253&lt;&gt;"",IF($L253&lt;&gt;"",MIN($L253,$M253),$M253),IF($L253&lt;&gt;"",$L253,IF(IFERROR(INDEX('Référentiel'!$D$2:$D$83,MATCH($C253,'Référentiel'!$A$2:$A$83,0)),0)&gt;0,IFERROR(INDEX('Référentiel'!$D$2:$D$83,MATCH($C253,'Référentiel'!$A$2:$A$83,0)),0),""))),IFERROR(INDEX('Référentiel'!$F$2:$F$83,MATCH($C253,'Référentiel'!$A$2:$A$83,0)),0)),IF($M253&lt;&gt;"",IF($L253&lt;&gt;"",MIN($L253,$M253),$M253),IF($L253&lt;&gt;"",$L253,IF(IFERROR(INDEX('Référentiel'!$D$2:$D$83,MATCH($C253,'Référentiel'!$A$2:$A$83,0)),0)&gt;0,IFERROR(INDEX('Référentiel'!$D$2:$D$83,MATCH($C253,'Référentiel'!$A$2:$A$83,0)),0),""))))))</f>
      </c>
      <c r="O253" s="9"/>
      <c r="P253" s="23"/>
      <c r="Q253" s="9"/>
      <c r="R253" s="24"/>
      <c r="S253" s="23"/>
      <c r="T253" s="23"/>
      <c r="U253" s="24"/>
      <c r="V253" s="20">
        <f>IF($C253="","",IFERROR(INDEX('Référentiel'!$K$2:$K$83,MATCH($C253,'Référentiel'!$A$2:$A$83,0)),""))</f>
      </c>
      <c r="W253" s="20">
        <f>IF(AND(ISNUMBER($G253),$I253&lt;&gt;"Hors service",$I253&lt;&gt;"Location terminée"),$G253+ROW()/100000,"")</f>
      </c>
      <c r="X253" s="9"/>
    </row>
    <row r="254" spans="1:24" x14ac:dyDescent="0.25">
      <c r="A254" s="9"/>
      <c r="B254" s="9"/>
      <c r="C254" s="9"/>
      <c r="D254" s="9"/>
      <c r="E254" s="19">
        <f>IF($A254="","",IF(SUMPRODUCT(MAX((Vérifications!$B$2:$B$1001=$A254)*Vérifications!$L$2:$L$1001))=0,"",SUMPRODUCT(MAX((Vérifications!$B$2:$B$1001=$A254)*Vérifications!$L$2:$L$1001))))</f>
      </c>
      <c r="F254" s="20">
        <f>IF($E254="","",IFERROR(INDEX(Vérifications!$E$2:$E$1001,MATCH($A254&amp;"|"&amp;$E254,Vérifications!$M$2:$M$1001,0)),""))</f>
      </c>
      <c r="G254" s="19">
        <f>IF($N254="","",IF(ISNUMBER($E254),EDATE($E254,$N254),IF(AND(ISNUMBER($U254),IFERROR(INDEX('Référentiel'!$E$2:$E$83,MATCH($C254,'Référentiel'!$A$2:$A$83,0)),0)&gt;0),EDATE($U254,IFERROR(INDEX('Référentiel'!$E$2:$E$83,MATCH($C254,'Référentiel'!$A$2:$A$83,0)),0)),"")))</f>
      </c>
      <c r="H254" s="21">
        <f>IF(ISNUMBER($G254),$G254-TODAY(),"")</f>
      </c>
      <c r="I254" s="20">
        <f>IF(AND($A254="",$C254=""),"",IF($T254="Non","Hors service",IF(AND($Q254="Location",ISNUMBER($R254),$R254&lt;TODAY()),"Location terminée",IF(OR($F254="Mise à l'arrêt",IF($A254="",0,SUMPRODUCT((Réserves!$B$2:$B$301=$A254)*(Réserves!$E$2:$E$301="Mise à l'arrêt")*(Réserves!$J$2:$J$301&lt;&gt;"Levée")*(Réserves!$J$2:$J$301&lt;&gt;"")))&gt;0),"Arrêt : réserve à lever",IF($C254="","Type à choisir",IF($N254="","Périodicité à saisir",IF(OR(ISTEXT($U254),ISTEXT($R254)),"Date à corriger",IF(AND($E254="",$Q254="Location",$S254&lt;&gt;"Oui"),"Rapport loueur à obtenir",IF(NOT(ISNUMBER($G254)),"Vérif. initiale à tracer",IF($H254&lt;0,"En retard",IF(AND($Q254="Location",$S254&lt;&gt;"Oui"),"Rapport loueur à obtenir",IF($H254&lt;='Tableau de bord'!$C$4,"À planifier","À jour"))))))))))))</f>
      </c>
      <c r="J254" s="22">
        <f>IF($A254="","",COUNTIFS(Réserves!$B$2:$B$301,$A254,Réserves!$J$2:$J$301,"Ouverte")+COUNTIFS(Réserves!$B$2:$B$301,$A254,Réserves!$J$2:$J$301,"En retard"))</f>
      </c>
      <c r="K254" s="20">
        <f>IF($C254="","",IFERROR(INDEX('Référentiel'!$B$2:$B$83,MATCH($C254,'Référentiel'!$A$2:$A$83,0)),"Type hors liste"))</f>
      </c>
      <c r="L254" s="22">
        <f>IF($C254="","",IF(IFERROR(INDEX('Référentiel'!$C$2:$C$83,MATCH($C254,'Référentiel'!$A$2:$A$83,0)),0)=0,"",IFERROR(INDEX('Référentiel'!$C$2:$C$83,MATCH($C254,'Référentiel'!$A$2:$A$83,0)),0)))</f>
      </c>
      <c r="M254" s="23"/>
      <c r="N254" s="22">
        <f>IF($C254="","",IF(IF($M254&lt;&gt;"",IF($L254&lt;&gt;"",MIN($L254,$M254),$M254),IF($L254&lt;&gt;"",$L254,IF(IFERROR(INDEX('Référentiel'!$D$2:$D$83,MATCH($C254,'Référentiel'!$A$2:$A$83,0)),0)&gt;0,IFERROR(INDEX('Référentiel'!$D$2:$D$83,MATCH($C254,'Référentiel'!$A$2:$A$83,0)),0),"")))="","",IF(AND(IFERROR(INDEX('Référentiel'!$F$2:$F$83,MATCH($C254,'Référentiel'!$A$2:$A$83,0)),0)&gt;0,N($J254)&gt;0),MIN(IF($M254&lt;&gt;"",IF($L254&lt;&gt;"",MIN($L254,$M254),$M254),IF($L254&lt;&gt;"",$L254,IF(IFERROR(INDEX('Référentiel'!$D$2:$D$83,MATCH($C254,'Référentiel'!$A$2:$A$83,0)),0)&gt;0,IFERROR(INDEX('Référentiel'!$D$2:$D$83,MATCH($C254,'Référentiel'!$A$2:$A$83,0)),0),""))),IFERROR(INDEX('Référentiel'!$F$2:$F$83,MATCH($C254,'Référentiel'!$A$2:$A$83,0)),0)),IF($M254&lt;&gt;"",IF($L254&lt;&gt;"",MIN($L254,$M254),$M254),IF($L254&lt;&gt;"",$L254,IF(IFERROR(INDEX('Référentiel'!$D$2:$D$83,MATCH($C254,'Référentiel'!$A$2:$A$83,0)),0)&gt;0,IFERROR(INDEX('Référentiel'!$D$2:$D$83,MATCH($C254,'Référentiel'!$A$2:$A$83,0)),0),""))))))</f>
      </c>
      <c r="O254" s="9"/>
      <c r="P254" s="23"/>
      <c r="Q254" s="9"/>
      <c r="R254" s="24"/>
      <c r="S254" s="23"/>
      <c r="T254" s="23"/>
      <c r="U254" s="24"/>
      <c r="V254" s="20">
        <f>IF($C254="","",IFERROR(INDEX('Référentiel'!$K$2:$K$83,MATCH($C254,'Référentiel'!$A$2:$A$83,0)),""))</f>
      </c>
      <c r="W254" s="20">
        <f>IF(AND(ISNUMBER($G254),$I254&lt;&gt;"Hors service",$I254&lt;&gt;"Location terminée"),$G254+ROW()/100000,"")</f>
      </c>
      <c r="X254" s="9"/>
    </row>
    <row r="255" spans="1:24" x14ac:dyDescent="0.25">
      <c r="A255" s="9"/>
      <c r="B255" s="9"/>
      <c r="C255" s="9"/>
      <c r="D255" s="9"/>
      <c r="E255" s="19">
        <f>IF($A255="","",IF(SUMPRODUCT(MAX((Vérifications!$B$2:$B$1001=$A255)*Vérifications!$L$2:$L$1001))=0,"",SUMPRODUCT(MAX((Vérifications!$B$2:$B$1001=$A255)*Vérifications!$L$2:$L$1001))))</f>
      </c>
      <c r="F255" s="20">
        <f>IF($E255="","",IFERROR(INDEX(Vérifications!$E$2:$E$1001,MATCH($A255&amp;"|"&amp;$E255,Vérifications!$M$2:$M$1001,0)),""))</f>
      </c>
      <c r="G255" s="19">
        <f>IF($N255="","",IF(ISNUMBER($E255),EDATE($E255,$N255),IF(AND(ISNUMBER($U255),IFERROR(INDEX('Référentiel'!$E$2:$E$83,MATCH($C255,'Référentiel'!$A$2:$A$83,0)),0)&gt;0),EDATE($U255,IFERROR(INDEX('Référentiel'!$E$2:$E$83,MATCH($C255,'Référentiel'!$A$2:$A$83,0)),0)),"")))</f>
      </c>
      <c r="H255" s="21">
        <f>IF(ISNUMBER($G255),$G255-TODAY(),"")</f>
      </c>
      <c r="I255" s="20">
        <f>IF(AND($A255="",$C255=""),"",IF($T255="Non","Hors service",IF(AND($Q255="Location",ISNUMBER($R255),$R255&lt;TODAY()),"Location terminée",IF(OR($F255="Mise à l'arrêt",IF($A255="",0,SUMPRODUCT((Réserves!$B$2:$B$301=$A255)*(Réserves!$E$2:$E$301="Mise à l'arrêt")*(Réserves!$J$2:$J$301&lt;&gt;"Levée")*(Réserves!$J$2:$J$301&lt;&gt;"")))&gt;0),"Arrêt : réserve à lever",IF($C255="","Type à choisir",IF($N255="","Périodicité à saisir",IF(OR(ISTEXT($U255),ISTEXT($R255)),"Date à corriger",IF(AND($E255="",$Q255="Location",$S255&lt;&gt;"Oui"),"Rapport loueur à obtenir",IF(NOT(ISNUMBER($G255)),"Vérif. initiale à tracer",IF($H255&lt;0,"En retard",IF(AND($Q255="Location",$S255&lt;&gt;"Oui"),"Rapport loueur à obtenir",IF($H255&lt;='Tableau de bord'!$C$4,"À planifier","À jour"))))))))))))</f>
      </c>
      <c r="J255" s="22">
        <f>IF($A255="","",COUNTIFS(Réserves!$B$2:$B$301,$A255,Réserves!$J$2:$J$301,"Ouverte")+COUNTIFS(Réserves!$B$2:$B$301,$A255,Réserves!$J$2:$J$301,"En retard"))</f>
      </c>
      <c r="K255" s="20">
        <f>IF($C255="","",IFERROR(INDEX('Référentiel'!$B$2:$B$83,MATCH($C255,'Référentiel'!$A$2:$A$83,0)),"Type hors liste"))</f>
      </c>
      <c r="L255" s="22">
        <f>IF($C255="","",IF(IFERROR(INDEX('Référentiel'!$C$2:$C$83,MATCH($C255,'Référentiel'!$A$2:$A$83,0)),0)=0,"",IFERROR(INDEX('Référentiel'!$C$2:$C$83,MATCH($C255,'Référentiel'!$A$2:$A$83,0)),0)))</f>
      </c>
      <c r="M255" s="23"/>
      <c r="N255" s="22">
        <f>IF($C255="","",IF(IF($M255&lt;&gt;"",IF($L255&lt;&gt;"",MIN($L255,$M255),$M255),IF($L255&lt;&gt;"",$L255,IF(IFERROR(INDEX('Référentiel'!$D$2:$D$83,MATCH($C255,'Référentiel'!$A$2:$A$83,0)),0)&gt;0,IFERROR(INDEX('Référentiel'!$D$2:$D$83,MATCH($C255,'Référentiel'!$A$2:$A$83,0)),0),"")))="","",IF(AND(IFERROR(INDEX('Référentiel'!$F$2:$F$83,MATCH($C255,'Référentiel'!$A$2:$A$83,0)),0)&gt;0,N($J255)&gt;0),MIN(IF($M255&lt;&gt;"",IF($L255&lt;&gt;"",MIN($L255,$M255),$M255),IF($L255&lt;&gt;"",$L255,IF(IFERROR(INDEX('Référentiel'!$D$2:$D$83,MATCH($C255,'Référentiel'!$A$2:$A$83,0)),0)&gt;0,IFERROR(INDEX('Référentiel'!$D$2:$D$83,MATCH($C255,'Référentiel'!$A$2:$A$83,0)),0),""))),IFERROR(INDEX('Référentiel'!$F$2:$F$83,MATCH($C255,'Référentiel'!$A$2:$A$83,0)),0)),IF($M255&lt;&gt;"",IF($L255&lt;&gt;"",MIN($L255,$M255),$M255),IF($L255&lt;&gt;"",$L255,IF(IFERROR(INDEX('Référentiel'!$D$2:$D$83,MATCH($C255,'Référentiel'!$A$2:$A$83,0)),0)&gt;0,IFERROR(INDEX('Référentiel'!$D$2:$D$83,MATCH($C255,'Référentiel'!$A$2:$A$83,0)),0),""))))))</f>
      </c>
      <c r="O255" s="9"/>
      <c r="P255" s="23"/>
      <c r="Q255" s="9"/>
      <c r="R255" s="24"/>
      <c r="S255" s="23"/>
      <c r="T255" s="23"/>
      <c r="U255" s="24"/>
      <c r="V255" s="20">
        <f>IF($C255="","",IFERROR(INDEX('Référentiel'!$K$2:$K$83,MATCH($C255,'Référentiel'!$A$2:$A$83,0)),""))</f>
      </c>
      <c r="W255" s="20">
        <f>IF(AND(ISNUMBER($G255),$I255&lt;&gt;"Hors service",$I255&lt;&gt;"Location terminée"),$G255+ROW()/100000,"")</f>
      </c>
      <c r="X255" s="9"/>
    </row>
    <row r="256" spans="1:24" x14ac:dyDescent="0.25">
      <c r="A256" s="9"/>
      <c r="B256" s="9"/>
      <c r="C256" s="9"/>
      <c r="D256" s="9"/>
      <c r="E256" s="19">
        <f>IF($A256="","",IF(SUMPRODUCT(MAX((Vérifications!$B$2:$B$1001=$A256)*Vérifications!$L$2:$L$1001))=0,"",SUMPRODUCT(MAX((Vérifications!$B$2:$B$1001=$A256)*Vérifications!$L$2:$L$1001))))</f>
      </c>
      <c r="F256" s="20">
        <f>IF($E256="","",IFERROR(INDEX(Vérifications!$E$2:$E$1001,MATCH($A256&amp;"|"&amp;$E256,Vérifications!$M$2:$M$1001,0)),""))</f>
      </c>
      <c r="G256" s="19">
        <f>IF($N256="","",IF(ISNUMBER($E256),EDATE($E256,$N256),IF(AND(ISNUMBER($U256),IFERROR(INDEX('Référentiel'!$E$2:$E$83,MATCH($C256,'Référentiel'!$A$2:$A$83,0)),0)&gt;0),EDATE($U256,IFERROR(INDEX('Référentiel'!$E$2:$E$83,MATCH($C256,'Référentiel'!$A$2:$A$83,0)),0)),"")))</f>
      </c>
      <c r="H256" s="21">
        <f>IF(ISNUMBER($G256),$G256-TODAY(),"")</f>
      </c>
      <c r="I256" s="20">
        <f>IF(AND($A256="",$C256=""),"",IF($T256="Non","Hors service",IF(AND($Q256="Location",ISNUMBER($R256),$R256&lt;TODAY()),"Location terminée",IF(OR($F256="Mise à l'arrêt",IF($A256="",0,SUMPRODUCT((Réserves!$B$2:$B$301=$A256)*(Réserves!$E$2:$E$301="Mise à l'arrêt")*(Réserves!$J$2:$J$301&lt;&gt;"Levée")*(Réserves!$J$2:$J$301&lt;&gt;"")))&gt;0),"Arrêt : réserve à lever",IF($C256="","Type à choisir",IF($N256="","Périodicité à saisir",IF(OR(ISTEXT($U256),ISTEXT($R256)),"Date à corriger",IF(AND($E256="",$Q256="Location",$S256&lt;&gt;"Oui"),"Rapport loueur à obtenir",IF(NOT(ISNUMBER($G256)),"Vérif. initiale à tracer",IF($H256&lt;0,"En retard",IF(AND($Q256="Location",$S256&lt;&gt;"Oui"),"Rapport loueur à obtenir",IF($H256&lt;='Tableau de bord'!$C$4,"À planifier","À jour"))))))))))))</f>
      </c>
      <c r="J256" s="22">
        <f>IF($A256="","",COUNTIFS(Réserves!$B$2:$B$301,$A256,Réserves!$J$2:$J$301,"Ouverte")+COUNTIFS(Réserves!$B$2:$B$301,$A256,Réserves!$J$2:$J$301,"En retard"))</f>
      </c>
      <c r="K256" s="20">
        <f>IF($C256="","",IFERROR(INDEX('Référentiel'!$B$2:$B$83,MATCH($C256,'Référentiel'!$A$2:$A$83,0)),"Type hors liste"))</f>
      </c>
      <c r="L256" s="22">
        <f>IF($C256="","",IF(IFERROR(INDEX('Référentiel'!$C$2:$C$83,MATCH($C256,'Référentiel'!$A$2:$A$83,0)),0)=0,"",IFERROR(INDEX('Référentiel'!$C$2:$C$83,MATCH($C256,'Référentiel'!$A$2:$A$83,0)),0)))</f>
      </c>
      <c r="M256" s="23"/>
      <c r="N256" s="22">
        <f>IF($C256="","",IF(IF($M256&lt;&gt;"",IF($L256&lt;&gt;"",MIN($L256,$M256),$M256),IF($L256&lt;&gt;"",$L256,IF(IFERROR(INDEX('Référentiel'!$D$2:$D$83,MATCH($C256,'Référentiel'!$A$2:$A$83,0)),0)&gt;0,IFERROR(INDEX('Référentiel'!$D$2:$D$83,MATCH($C256,'Référentiel'!$A$2:$A$83,0)),0),"")))="","",IF(AND(IFERROR(INDEX('Référentiel'!$F$2:$F$83,MATCH($C256,'Référentiel'!$A$2:$A$83,0)),0)&gt;0,N($J256)&gt;0),MIN(IF($M256&lt;&gt;"",IF($L256&lt;&gt;"",MIN($L256,$M256),$M256),IF($L256&lt;&gt;"",$L256,IF(IFERROR(INDEX('Référentiel'!$D$2:$D$83,MATCH($C256,'Référentiel'!$A$2:$A$83,0)),0)&gt;0,IFERROR(INDEX('Référentiel'!$D$2:$D$83,MATCH($C256,'Référentiel'!$A$2:$A$83,0)),0),""))),IFERROR(INDEX('Référentiel'!$F$2:$F$83,MATCH($C256,'Référentiel'!$A$2:$A$83,0)),0)),IF($M256&lt;&gt;"",IF($L256&lt;&gt;"",MIN($L256,$M256),$M256),IF($L256&lt;&gt;"",$L256,IF(IFERROR(INDEX('Référentiel'!$D$2:$D$83,MATCH($C256,'Référentiel'!$A$2:$A$83,0)),0)&gt;0,IFERROR(INDEX('Référentiel'!$D$2:$D$83,MATCH($C256,'Référentiel'!$A$2:$A$83,0)),0),""))))))</f>
      </c>
      <c r="O256" s="9"/>
      <c r="P256" s="23"/>
      <c r="Q256" s="9"/>
      <c r="R256" s="24"/>
      <c r="S256" s="23"/>
      <c r="T256" s="23"/>
      <c r="U256" s="24"/>
      <c r="V256" s="20">
        <f>IF($C256="","",IFERROR(INDEX('Référentiel'!$K$2:$K$83,MATCH($C256,'Référentiel'!$A$2:$A$83,0)),""))</f>
      </c>
      <c r="W256" s="20">
        <f>IF(AND(ISNUMBER($G256),$I256&lt;&gt;"Hors service",$I256&lt;&gt;"Location terminée"),$G256+ROW()/100000,"")</f>
      </c>
      <c r="X256" s="9"/>
    </row>
    <row r="257" spans="1:24" x14ac:dyDescent="0.25">
      <c r="A257" s="9"/>
      <c r="B257" s="9"/>
      <c r="C257" s="9"/>
      <c r="D257" s="9"/>
      <c r="E257" s="19">
        <f>IF($A257="","",IF(SUMPRODUCT(MAX((Vérifications!$B$2:$B$1001=$A257)*Vérifications!$L$2:$L$1001))=0,"",SUMPRODUCT(MAX((Vérifications!$B$2:$B$1001=$A257)*Vérifications!$L$2:$L$1001))))</f>
      </c>
      <c r="F257" s="20">
        <f>IF($E257="","",IFERROR(INDEX(Vérifications!$E$2:$E$1001,MATCH($A257&amp;"|"&amp;$E257,Vérifications!$M$2:$M$1001,0)),""))</f>
      </c>
      <c r="G257" s="19">
        <f>IF($N257="","",IF(ISNUMBER($E257),EDATE($E257,$N257),IF(AND(ISNUMBER($U257),IFERROR(INDEX('Référentiel'!$E$2:$E$83,MATCH($C257,'Référentiel'!$A$2:$A$83,0)),0)&gt;0),EDATE($U257,IFERROR(INDEX('Référentiel'!$E$2:$E$83,MATCH($C257,'Référentiel'!$A$2:$A$83,0)),0)),"")))</f>
      </c>
      <c r="H257" s="21">
        <f>IF(ISNUMBER($G257),$G257-TODAY(),"")</f>
      </c>
      <c r="I257" s="20">
        <f>IF(AND($A257="",$C257=""),"",IF($T257="Non","Hors service",IF(AND($Q257="Location",ISNUMBER($R257),$R257&lt;TODAY()),"Location terminée",IF(OR($F257="Mise à l'arrêt",IF($A257="",0,SUMPRODUCT((Réserves!$B$2:$B$301=$A257)*(Réserves!$E$2:$E$301="Mise à l'arrêt")*(Réserves!$J$2:$J$301&lt;&gt;"Levée")*(Réserves!$J$2:$J$301&lt;&gt;"")))&gt;0),"Arrêt : réserve à lever",IF($C257="","Type à choisir",IF($N257="","Périodicité à saisir",IF(OR(ISTEXT($U257),ISTEXT($R257)),"Date à corriger",IF(AND($E257="",$Q257="Location",$S257&lt;&gt;"Oui"),"Rapport loueur à obtenir",IF(NOT(ISNUMBER($G257)),"Vérif. initiale à tracer",IF($H257&lt;0,"En retard",IF(AND($Q257="Location",$S257&lt;&gt;"Oui"),"Rapport loueur à obtenir",IF($H257&lt;='Tableau de bord'!$C$4,"À planifier","À jour"))))))))))))</f>
      </c>
      <c r="J257" s="22">
        <f>IF($A257="","",COUNTIFS(Réserves!$B$2:$B$301,$A257,Réserves!$J$2:$J$301,"Ouverte")+COUNTIFS(Réserves!$B$2:$B$301,$A257,Réserves!$J$2:$J$301,"En retard"))</f>
      </c>
      <c r="K257" s="20">
        <f>IF($C257="","",IFERROR(INDEX('Référentiel'!$B$2:$B$83,MATCH($C257,'Référentiel'!$A$2:$A$83,0)),"Type hors liste"))</f>
      </c>
      <c r="L257" s="22">
        <f>IF($C257="","",IF(IFERROR(INDEX('Référentiel'!$C$2:$C$83,MATCH($C257,'Référentiel'!$A$2:$A$83,0)),0)=0,"",IFERROR(INDEX('Référentiel'!$C$2:$C$83,MATCH($C257,'Référentiel'!$A$2:$A$83,0)),0)))</f>
      </c>
      <c r="M257" s="23"/>
      <c r="N257" s="22">
        <f>IF($C257="","",IF(IF($M257&lt;&gt;"",IF($L257&lt;&gt;"",MIN($L257,$M257),$M257),IF($L257&lt;&gt;"",$L257,IF(IFERROR(INDEX('Référentiel'!$D$2:$D$83,MATCH($C257,'Référentiel'!$A$2:$A$83,0)),0)&gt;0,IFERROR(INDEX('Référentiel'!$D$2:$D$83,MATCH($C257,'Référentiel'!$A$2:$A$83,0)),0),"")))="","",IF(AND(IFERROR(INDEX('Référentiel'!$F$2:$F$83,MATCH($C257,'Référentiel'!$A$2:$A$83,0)),0)&gt;0,N($J257)&gt;0),MIN(IF($M257&lt;&gt;"",IF($L257&lt;&gt;"",MIN($L257,$M257),$M257),IF($L257&lt;&gt;"",$L257,IF(IFERROR(INDEX('Référentiel'!$D$2:$D$83,MATCH($C257,'Référentiel'!$A$2:$A$83,0)),0)&gt;0,IFERROR(INDEX('Référentiel'!$D$2:$D$83,MATCH($C257,'Référentiel'!$A$2:$A$83,0)),0),""))),IFERROR(INDEX('Référentiel'!$F$2:$F$83,MATCH($C257,'Référentiel'!$A$2:$A$83,0)),0)),IF($M257&lt;&gt;"",IF($L257&lt;&gt;"",MIN($L257,$M257),$M257),IF($L257&lt;&gt;"",$L257,IF(IFERROR(INDEX('Référentiel'!$D$2:$D$83,MATCH($C257,'Référentiel'!$A$2:$A$83,0)),0)&gt;0,IFERROR(INDEX('Référentiel'!$D$2:$D$83,MATCH($C257,'Référentiel'!$A$2:$A$83,0)),0),""))))))</f>
      </c>
      <c r="O257" s="9"/>
      <c r="P257" s="23"/>
      <c r="Q257" s="9"/>
      <c r="R257" s="24"/>
      <c r="S257" s="23"/>
      <c r="T257" s="23"/>
      <c r="U257" s="24"/>
      <c r="V257" s="20">
        <f>IF($C257="","",IFERROR(INDEX('Référentiel'!$K$2:$K$83,MATCH($C257,'Référentiel'!$A$2:$A$83,0)),""))</f>
      </c>
      <c r="W257" s="20">
        <f>IF(AND(ISNUMBER($G257),$I257&lt;&gt;"Hors service",$I257&lt;&gt;"Location terminée"),$G257+ROW()/100000,"")</f>
      </c>
      <c r="X257" s="9"/>
    </row>
    <row r="258" spans="1:24" x14ac:dyDescent="0.25">
      <c r="A258" s="9"/>
      <c r="B258" s="9"/>
      <c r="C258" s="9"/>
      <c r="D258" s="9"/>
      <c r="E258" s="19">
        <f>IF($A258="","",IF(SUMPRODUCT(MAX((Vérifications!$B$2:$B$1001=$A258)*Vérifications!$L$2:$L$1001))=0,"",SUMPRODUCT(MAX((Vérifications!$B$2:$B$1001=$A258)*Vérifications!$L$2:$L$1001))))</f>
      </c>
      <c r="F258" s="20">
        <f>IF($E258="","",IFERROR(INDEX(Vérifications!$E$2:$E$1001,MATCH($A258&amp;"|"&amp;$E258,Vérifications!$M$2:$M$1001,0)),""))</f>
      </c>
      <c r="G258" s="19">
        <f>IF($N258="","",IF(ISNUMBER($E258),EDATE($E258,$N258),IF(AND(ISNUMBER($U258),IFERROR(INDEX('Référentiel'!$E$2:$E$83,MATCH($C258,'Référentiel'!$A$2:$A$83,0)),0)&gt;0),EDATE($U258,IFERROR(INDEX('Référentiel'!$E$2:$E$83,MATCH($C258,'Référentiel'!$A$2:$A$83,0)),0)),"")))</f>
      </c>
      <c r="H258" s="21">
        <f>IF(ISNUMBER($G258),$G258-TODAY(),"")</f>
      </c>
      <c r="I258" s="20">
        <f>IF(AND($A258="",$C258=""),"",IF($T258="Non","Hors service",IF(AND($Q258="Location",ISNUMBER($R258),$R258&lt;TODAY()),"Location terminée",IF(OR($F258="Mise à l'arrêt",IF($A258="",0,SUMPRODUCT((Réserves!$B$2:$B$301=$A258)*(Réserves!$E$2:$E$301="Mise à l'arrêt")*(Réserves!$J$2:$J$301&lt;&gt;"Levée")*(Réserves!$J$2:$J$301&lt;&gt;"")))&gt;0),"Arrêt : réserve à lever",IF($C258="","Type à choisir",IF($N258="","Périodicité à saisir",IF(OR(ISTEXT($U258),ISTEXT($R258)),"Date à corriger",IF(AND($E258="",$Q258="Location",$S258&lt;&gt;"Oui"),"Rapport loueur à obtenir",IF(NOT(ISNUMBER($G258)),"Vérif. initiale à tracer",IF($H258&lt;0,"En retard",IF(AND($Q258="Location",$S258&lt;&gt;"Oui"),"Rapport loueur à obtenir",IF($H258&lt;='Tableau de bord'!$C$4,"À planifier","À jour"))))))))))))</f>
      </c>
      <c r="J258" s="22">
        <f>IF($A258="","",COUNTIFS(Réserves!$B$2:$B$301,$A258,Réserves!$J$2:$J$301,"Ouverte")+COUNTIFS(Réserves!$B$2:$B$301,$A258,Réserves!$J$2:$J$301,"En retard"))</f>
      </c>
      <c r="K258" s="20">
        <f>IF($C258="","",IFERROR(INDEX('Référentiel'!$B$2:$B$83,MATCH($C258,'Référentiel'!$A$2:$A$83,0)),"Type hors liste"))</f>
      </c>
      <c r="L258" s="22">
        <f>IF($C258="","",IF(IFERROR(INDEX('Référentiel'!$C$2:$C$83,MATCH($C258,'Référentiel'!$A$2:$A$83,0)),0)=0,"",IFERROR(INDEX('Référentiel'!$C$2:$C$83,MATCH($C258,'Référentiel'!$A$2:$A$83,0)),0)))</f>
      </c>
      <c r="M258" s="23"/>
      <c r="N258" s="22">
        <f>IF($C258="","",IF(IF($M258&lt;&gt;"",IF($L258&lt;&gt;"",MIN($L258,$M258),$M258),IF($L258&lt;&gt;"",$L258,IF(IFERROR(INDEX('Référentiel'!$D$2:$D$83,MATCH($C258,'Référentiel'!$A$2:$A$83,0)),0)&gt;0,IFERROR(INDEX('Référentiel'!$D$2:$D$83,MATCH($C258,'Référentiel'!$A$2:$A$83,0)),0),"")))="","",IF(AND(IFERROR(INDEX('Référentiel'!$F$2:$F$83,MATCH($C258,'Référentiel'!$A$2:$A$83,0)),0)&gt;0,N($J258)&gt;0),MIN(IF($M258&lt;&gt;"",IF($L258&lt;&gt;"",MIN($L258,$M258),$M258),IF($L258&lt;&gt;"",$L258,IF(IFERROR(INDEX('Référentiel'!$D$2:$D$83,MATCH($C258,'Référentiel'!$A$2:$A$83,0)),0)&gt;0,IFERROR(INDEX('Référentiel'!$D$2:$D$83,MATCH($C258,'Référentiel'!$A$2:$A$83,0)),0),""))),IFERROR(INDEX('Référentiel'!$F$2:$F$83,MATCH($C258,'Référentiel'!$A$2:$A$83,0)),0)),IF($M258&lt;&gt;"",IF($L258&lt;&gt;"",MIN($L258,$M258),$M258),IF($L258&lt;&gt;"",$L258,IF(IFERROR(INDEX('Référentiel'!$D$2:$D$83,MATCH($C258,'Référentiel'!$A$2:$A$83,0)),0)&gt;0,IFERROR(INDEX('Référentiel'!$D$2:$D$83,MATCH($C258,'Référentiel'!$A$2:$A$83,0)),0),""))))))</f>
      </c>
      <c r="O258" s="9"/>
      <c r="P258" s="23"/>
      <c r="Q258" s="9"/>
      <c r="R258" s="24"/>
      <c r="S258" s="23"/>
      <c r="T258" s="23"/>
      <c r="U258" s="24"/>
      <c r="V258" s="20">
        <f>IF($C258="","",IFERROR(INDEX('Référentiel'!$K$2:$K$83,MATCH($C258,'Référentiel'!$A$2:$A$83,0)),""))</f>
      </c>
      <c r="W258" s="20">
        <f>IF(AND(ISNUMBER($G258),$I258&lt;&gt;"Hors service",$I258&lt;&gt;"Location terminée"),$G258+ROW()/100000,"")</f>
      </c>
      <c r="X258" s="9"/>
    </row>
    <row r="259" spans="1:24" x14ac:dyDescent="0.25">
      <c r="A259" s="9"/>
      <c r="B259" s="9"/>
      <c r="C259" s="9"/>
      <c r="D259" s="9"/>
      <c r="E259" s="19">
        <f>IF($A259="","",IF(SUMPRODUCT(MAX((Vérifications!$B$2:$B$1001=$A259)*Vérifications!$L$2:$L$1001))=0,"",SUMPRODUCT(MAX((Vérifications!$B$2:$B$1001=$A259)*Vérifications!$L$2:$L$1001))))</f>
      </c>
      <c r="F259" s="20">
        <f>IF($E259="","",IFERROR(INDEX(Vérifications!$E$2:$E$1001,MATCH($A259&amp;"|"&amp;$E259,Vérifications!$M$2:$M$1001,0)),""))</f>
      </c>
      <c r="G259" s="19">
        <f>IF($N259="","",IF(ISNUMBER($E259),EDATE($E259,$N259),IF(AND(ISNUMBER($U259),IFERROR(INDEX('Référentiel'!$E$2:$E$83,MATCH($C259,'Référentiel'!$A$2:$A$83,0)),0)&gt;0),EDATE($U259,IFERROR(INDEX('Référentiel'!$E$2:$E$83,MATCH($C259,'Référentiel'!$A$2:$A$83,0)),0)),"")))</f>
      </c>
      <c r="H259" s="21">
        <f>IF(ISNUMBER($G259),$G259-TODAY(),"")</f>
      </c>
      <c r="I259" s="20">
        <f>IF(AND($A259="",$C259=""),"",IF($T259="Non","Hors service",IF(AND($Q259="Location",ISNUMBER($R259),$R259&lt;TODAY()),"Location terminée",IF(OR($F259="Mise à l'arrêt",IF($A259="",0,SUMPRODUCT((Réserves!$B$2:$B$301=$A259)*(Réserves!$E$2:$E$301="Mise à l'arrêt")*(Réserves!$J$2:$J$301&lt;&gt;"Levée")*(Réserves!$J$2:$J$301&lt;&gt;"")))&gt;0),"Arrêt : réserve à lever",IF($C259="","Type à choisir",IF($N259="","Périodicité à saisir",IF(OR(ISTEXT($U259),ISTEXT($R259)),"Date à corriger",IF(AND($E259="",$Q259="Location",$S259&lt;&gt;"Oui"),"Rapport loueur à obtenir",IF(NOT(ISNUMBER($G259)),"Vérif. initiale à tracer",IF($H259&lt;0,"En retard",IF(AND($Q259="Location",$S259&lt;&gt;"Oui"),"Rapport loueur à obtenir",IF($H259&lt;='Tableau de bord'!$C$4,"À planifier","À jour"))))))))))))</f>
      </c>
      <c r="J259" s="22">
        <f>IF($A259="","",COUNTIFS(Réserves!$B$2:$B$301,$A259,Réserves!$J$2:$J$301,"Ouverte")+COUNTIFS(Réserves!$B$2:$B$301,$A259,Réserves!$J$2:$J$301,"En retard"))</f>
      </c>
      <c r="K259" s="20">
        <f>IF($C259="","",IFERROR(INDEX('Référentiel'!$B$2:$B$83,MATCH($C259,'Référentiel'!$A$2:$A$83,0)),"Type hors liste"))</f>
      </c>
      <c r="L259" s="22">
        <f>IF($C259="","",IF(IFERROR(INDEX('Référentiel'!$C$2:$C$83,MATCH($C259,'Référentiel'!$A$2:$A$83,0)),0)=0,"",IFERROR(INDEX('Référentiel'!$C$2:$C$83,MATCH($C259,'Référentiel'!$A$2:$A$83,0)),0)))</f>
      </c>
      <c r="M259" s="23"/>
      <c r="N259" s="22">
        <f>IF($C259="","",IF(IF($M259&lt;&gt;"",IF($L259&lt;&gt;"",MIN($L259,$M259),$M259),IF($L259&lt;&gt;"",$L259,IF(IFERROR(INDEX('Référentiel'!$D$2:$D$83,MATCH($C259,'Référentiel'!$A$2:$A$83,0)),0)&gt;0,IFERROR(INDEX('Référentiel'!$D$2:$D$83,MATCH($C259,'Référentiel'!$A$2:$A$83,0)),0),"")))="","",IF(AND(IFERROR(INDEX('Référentiel'!$F$2:$F$83,MATCH($C259,'Référentiel'!$A$2:$A$83,0)),0)&gt;0,N($J259)&gt;0),MIN(IF($M259&lt;&gt;"",IF($L259&lt;&gt;"",MIN($L259,$M259),$M259),IF($L259&lt;&gt;"",$L259,IF(IFERROR(INDEX('Référentiel'!$D$2:$D$83,MATCH($C259,'Référentiel'!$A$2:$A$83,0)),0)&gt;0,IFERROR(INDEX('Référentiel'!$D$2:$D$83,MATCH($C259,'Référentiel'!$A$2:$A$83,0)),0),""))),IFERROR(INDEX('Référentiel'!$F$2:$F$83,MATCH($C259,'Référentiel'!$A$2:$A$83,0)),0)),IF($M259&lt;&gt;"",IF($L259&lt;&gt;"",MIN($L259,$M259),$M259),IF($L259&lt;&gt;"",$L259,IF(IFERROR(INDEX('Référentiel'!$D$2:$D$83,MATCH($C259,'Référentiel'!$A$2:$A$83,0)),0)&gt;0,IFERROR(INDEX('Référentiel'!$D$2:$D$83,MATCH($C259,'Référentiel'!$A$2:$A$83,0)),0),""))))))</f>
      </c>
      <c r="O259" s="9"/>
      <c r="P259" s="23"/>
      <c r="Q259" s="9"/>
      <c r="R259" s="24"/>
      <c r="S259" s="23"/>
      <c r="T259" s="23"/>
      <c r="U259" s="24"/>
      <c r="V259" s="20">
        <f>IF($C259="","",IFERROR(INDEX('Référentiel'!$K$2:$K$83,MATCH($C259,'Référentiel'!$A$2:$A$83,0)),""))</f>
      </c>
      <c r="W259" s="20">
        <f>IF(AND(ISNUMBER($G259),$I259&lt;&gt;"Hors service",$I259&lt;&gt;"Location terminée"),$G259+ROW()/100000,"")</f>
      </c>
      <c r="X259" s="9"/>
    </row>
    <row r="260" spans="1:24" x14ac:dyDescent="0.25">
      <c r="A260" s="9"/>
      <c r="B260" s="9"/>
      <c r="C260" s="9"/>
      <c r="D260" s="9"/>
      <c r="E260" s="19">
        <f>IF($A260="","",IF(SUMPRODUCT(MAX((Vérifications!$B$2:$B$1001=$A260)*Vérifications!$L$2:$L$1001))=0,"",SUMPRODUCT(MAX((Vérifications!$B$2:$B$1001=$A260)*Vérifications!$L$2:$L$1001))))</f>
      </c>
      <c r="F260" s="20">
        <f>IF($E260="","",IFERROR(INDEX(Vérifications!$E$2:$E$1001,MATCH($A260&amp;"|"&amp;$E260,Vérifications!$M$2:$M$1001,0)),""))</f>
      </c>
      <c r="G260" s="19">
        <f>IF($N260="","",IF(ISNUMBER($E260),EDATE($E260,$N260),IF(AND(ISNUMBER($U260),IFERROR(INDEX('Référentiel'!$E$2:$E$83,MATCH($C260,'Référentiel'!$A$2:$A$83,0)),0)&gt;0),EDATE($U260,IFERROR(INDEX('Référentiel'!$E$2:$E$83,MATCH($C260,'Référentiel'!$A$2:$A$83,0)),0)),"")))</f>
      </c>
      <c r="H260" s="21">
        <f>IF(ISNUMBER($G260),$G260-TODAY(),"")</f>
      </c>
      <c r="I260" s="20">
        <f>IF(AND($A260="",$C260=""),"",IF($T260="Non","Hors service",IF(AND($Q260="Location",ISNUMBER($R260),$R260&lt;TODAY()),"Location terminée",IF(OR($F260="Mise à l'arrêt",IF($A260="",0,SUMPRODUCT((Réserves!$B$2:$B$301=$A260)*(Réserves!$E$2:$E$301="Mise à l'arrêt")*(Réserves!$J$2:$J$301&lt;&gt;"Levée")*(Réserves!$J$2:$J$301&lt;&gt;"")))&gt;0),"Arrêt : réserve à lever",IF($C260="","Type à choisir",IF($N260="","Périodicité à saisir",IF(OR(ISTEXT($U260),ISTEXT($R260)),"Date à corriger",IF(AND($E260="",$Q260="Location",$S260&lt;&gt;"Oui"),"Rapport loueur à obtenir",IF(NOT(ISNUMBER($G260)),"Vérif. initiale à tracer",IF($H260&lt;0,"En retard",IF(AND($Q260="Location",$S260&lt;&gt;"Oui"),"Rapport loueur à obtenir",IF($H260&lt;='Tableau de bord'!$C$4,"À planifier","À jour"))))))))))))</f>
      </c>
      <c r="J260" s="22">
        <f>IF($A260="","",COUNTIFS(Réserves!$B$2:$B$301,$A260,Réserves!$J$2:$J$301,"Ouverte")+COUNTIFS(Réserves!$B$2:$B$301,$A260,Réserves!$J$2:$J$301,"En retard"))</f>
      </c>
      <c r="K260" s="20">
        <f>IF($C260="","",IFERROR(INDEX('Référentiel'!$B$2:$B$83,MATCH($C260,'Référentiel'!$A$2:$A$83,0)),"Type hors liste"))</f>
      </c>
      <c r="L260" s="22">
        <f>IF($C260="","",IF(IFERROR(INDEX('Référentiel'!$C$2:$C$83,MATCH($C260,'Référentiel'!$A$2:$A$83,0)),0)=0,"",IFERROR(INDEX('Référentiel'!$C$2:$C$83,MATCH($C260,'Référentiel'!$A$2:$A$83,0)),0)))</f>
      </c>
      <c r="M260" s="23"/>
      <c r="N260" s="22">
        <f>IF($C260="","",IF(IF($M260&lt;&gt;"",IF($L260&lt;&gt;"",MIN($L260,$M260),$M260),IF($L260&lt;&gt;"",$L260,IF(IFERROR(INDEX('Référentiel'!$D$2:$D$83,MATCH($C260,'Référentiel'!$A$2:$A$83,0)),0)&gt;0,IFERROR(INDEX('Référentiel'!$D$2:$D$83,MATCH($C260,'Référentiel'!$A$2:$A$83,0)),0),"")))="","",IF(AND(IFERROR(INDEX('Référentiel'!$F$2:$F$83,MATCH($C260,'Référentiel'!$A$2:$A$83,0)),0)&gt;0,N($J260)&gt;0),MIN(IF($M260&lt;&gt;"",IF($L260&lt;&gt;"",MIN($L260,$M260),$M260),IF($L260&lt;&gt;"",$L260,IF(IFERROR(INDEX('Référentiel'!$D$2:$D$83,MATCH($C260,'Référentiel'!$A$2:$A$83,0)),0)&gt;0,IFERROR(INDEX('Référentiel'!$D$2:$D$83,MATCH($C260,'Référentiel'!$A$2:$A$83,0)),0),""))),IFERROR(INDEX('Référentiel'!$F$2:$F$83,MATCH($C260,'Référentiel'!$A$2:$A$83,0)),0)),IF($M260&lt;&gt;"",IF($L260&lt;&gt;"",MIN($L260,$M260),$M260),IF($L260&lt;&gt;"",$L260,IF(IFERROR(INDEX('Référentiel'!$D$2:$D$83,MATCH($C260,'Référentiel'!$A$2:$A$83,0)),0)&gt;0,IFERROR(INDEX('Référentiel'!$D$2:$D$83,MATCH($C260,'Référentiel'!$A$2:$A$83,0)),0),""))))))</f>
      </c>
      <c r="O260" s="9"/>
      <c r="P260" s="23"/>
      <c r="Q260" s="9"/>
      <c r="R260" s="24"/>
      <c r="S260" s="23"/>
      <c r="T260" s="23"/>
      <c r="U260" s="24"/>
      <c r="V260" s="20">
        <f>IF($C260="","",IFERROR(INDEX('Référentiel'!$K$2:$K$83,MATCH($C260,'Référentiel'!$A$2:$A$83,0)),""))</f>
      </c>
      <c r="W260" s="20">
        <f>IF(AND(ISNUMBER($G260),$I260&lt;&gt;"Hors service",$I260&lt;&gt;"Location terminée"),$G260+ROW()/100000,"")</f>
      </c>
      <c r="X260" s="9"/>
    </row>
    <row r="261" spans="1:24" x14ac:dyDescent="0.25">
      <c r="A261" s="9"/>
      <c r="B261" s="9"/>
      <c r="C261" s="9"/>
      <c r="D261" s="9"/>
      <c r="E261" s="19">
        <f>IF($A261="","",IF(SUMPRODUCT(MAX((Vérifications!$B$2:$B$1001=$A261)*Vérifications!$L$2:$L$1001))=0,"",SUMPRODUCT(MAX((Vérifications!$B$2:$B$1001=$A261)*Vérifications!$L$2:$L$1001))))</f>
      </c>
      <c r="F261" s="20">
        <f>IF($E261="","",IFERROR(INDEX(Vérifications!$E$2:$E$1001,MATCH($A261&amp;"|"&amp;$E261,Vérifications!$M$2:$M$1001,0)),""))</f>
      </c>
      <c r="G261" s="19">
        <f>IF($N261="","",IF(ISNUMBER($E261),EDATE($E261,$N261),IF(AND(ISNUMBER($U261),IFERROR(INDEX('Référentiel'!$E$2:$E$83,MATCH($C261,'Référentiel'!$A$2:$A$83,0)),0)&gt;0),EDATE($U261,IFERROR(INDEX('Référentiel'!$E$2:$E$83,MATCH($C261,'Référentiel'!$A$2:$A$83,0)),0)),"")))</f>
      </c>
      <c r="H261" s="21">
        <f>IF(ISNUMBER($G261),$G261-TODAY(),"")</f>
      </c>
      <c r="I261" s="20">
        <f>IF(AND($A261="",$C261=""),"",IF($T261="Non","Hors service",IF(AND($Q261="Location",ISNUMBER($R261),$R261&lt;TODAY()),"Location terminée",IF(OR($F261="Mise à l'arrêt",IF($A261="",0,SUMPRODUCT((Réserves!$B$2:$B$301=$A261)*(Réserves!$E$2:$E$301="Mise à l'arrêt")*(Réserves!$J$2:$J$301&lt;&gt;"Levée")*(Réserves!$J$2:$J$301&lt;&gt;"")))&gt;0),"Arrêt : réserve à lever",IF($C261="","Type à choisir",IF($N261="","Périodicité à saisir",IF(OR(ISTEXT($U261),ISTEXT($R261)),"Date à corriger",IF(AND($E261="",$Q261="Location",$S261&lt;&gt;"Oui"),"Rapport loueur à obtenir",IF(NOT(ISNUMBER($G261)),"Vérif. initiale à tracer",IF($H261&lt;0,"En retard",IF(AND($Q261="Location",$S261&lt;&gt;"Oui"),"Rapport loueur à obtenir",IF($H261&lt;='Tableau de bord'!$C$4,"À planifier","À jour"))))))))))))</f>
      </c>
      <c r="J261" s="22">
        <f>IF($A261="","",COUNTIFS(Réserves!$B$2:$B$301,$A261,Réserves!$J$2:$J$301,"Ouverte")+COUNTIFS(Réserves!$B$2:$B$301,$A261,Réserves!$J$2:$J$301,"En retard"))</f>
      </c>
      <c r="K261" s="20">
        <f>IF($C261="","",IFERROR(INDEX('Référentiel'!$B$2:$B$83,MATCH($C261,'Référentiel'!$A$2:$A$83,0)),"Type hors liste"))</f>
      </c>
      <c r="L261" s="22">
        <f>IF($C261="","",IF(IFERROR(INDEX('Référentiel'!$C$2:$C$83,MATCH($C261,'Référentiel'!$A$2:$A$83,0)),0)=0,"",IFERROR(INDEX('Référentiel'!$C$2:$C$83,MATCH($C261,'Référentiel'!$A$2:$A$83,0)),0)))</f>
      </c>
      <c r="M261" s="23"/>
      <c r="N261" s="22">
        <f>IF($C261="","",IF(IF($M261&lt;&gt;"",IF($L261&lt;&gt;"",MIN($L261,$M261),$M261),IF($L261&lt;&gt;"",$L261,IF(IFERROR(INDEX('Référentiel'!$D$2:$D$83,MATCH($C261,'Référentiel'!$A$2:$A$83,0)),0)&gt;0,IFERROR(INDEX('Référentiel'!$D$2:$D$83,MATCH($C261,'Référentiel'!$A$2:$A$83,0)),0),"")))="","",IF(AND(IFERROR(INDEX('Référentiel'!$F$2:$F$83,MATCH($C261,'Référentiel'!$A$2:$A$83,0)),0)&gt;0,N($J261)&gt;0),MIN(IF($M261&lt;&gt;"",IF($L261&lt;&gt;"",MIN($L261,$M261),$M261),IF($L261&lt;&gt;"",$L261,IF(IFERROR(INDEX('Référentiel'!$D$2:$D$83,MATCH($C261,'Référentiel'!$A$2:$A$83,0)),0)&gt;0,IFERROR(INDEX('Référentiel'!$D$2:$D$83,MATCH($C261,'Référentiel'!$A$2:$A$83,0)),0),""))),IFERROR(INDEX('Référentiel'!$F$2:$F$83,MATCH($C261,'Référentiel'!$A$2:$A$83,0)),0)),IF($M261&lt;&gt;"",IF($L261&lt;&gt;"",MIN($L261,$M261),$M261),IF($L261&lt;&gt;"",$L261,IF(IFERROR(INDEX('Référentiel'!$D$2:$D$83,MATCH($C261,'Référentiel'!$A$2:$A$83,0)),0)&gt;0,IFERROR(INDEX('Référentiel'!$D$2:$D$83,MATCH($C261,'Référentiel'!$A$2:$A$83,0)),0),""))))))</f>
      </c>
      <c r="O261" s="9"/>
      <c r="P261" s="23"/>
      <c r="Q261" s="9"/>
      <c r="R261" s="24"/>
      <c r="S261" s="23"/>
      <c r="T261" s="23"/>
      <c r="U261" s="24"/>
      <c r="V261" s="20">
        <f>IF($C261="","",IFERROR(INDEX('Référentiel'!$K$2:$K$83,MATCH($C261,'Référentiel'!$A$2:$A$83,0)),""))</f>
      </c>
      <c r="W261" s="20">
        <f>IF(AND(ISNUMBER($G261),$I261&lt;&gt;"Hors service",$I261&lt;&gt;"Location terminée"),$G261+ROW()/100000,"")</f>
      </c>
      <c r="X261" s="9"/>
    </row>
    <row r="262" spans="1:24" x14ac:dyDescent="0.25">
      <c r="A262" s="9"/>
      <c r="B262" s="9"/>
      <c r="C262" s="9"/>
      <c r="D262" s="9"/>
      <c r="E262" s="19">
        <f>IF($A262="","",IF(SUMPRODUCT(MAX((Vérifications!$B$2:$B$1001=$A262)*Vérifications!$L$2:$L$1001))=0,"",SUMPRODUCT(MAX((Vérifications!$B$2:$B$1001=$A262)*Vérifications!$L$2:$L$1001))))</f>
      </c>
      <c r="F262" s="20">
        <f>IF($E262="","",IFERROR(INDEX(Vérifications!$E$2:$E$1001,MATCH($A262&amp;"|"&amp;$E262,Vérifications!$M$2:$M$1001,0)),""))</f>
      </c>
      <c r="G262" s="19">
        <f>IF($N262="","",IF(ISNUMBER($E262),EDATE($E262,$N262),IF(AND(ISNUMBER($U262),IFERROR(INDEX('Référentiel'!$E$2:$E$83,MATCH($C262,'Référentiel'!$A$2:$A$83,0)),0)&gt;0),EDATE($U262,IFERROR(INDEX('Référentiel'!$E$2:$E$83,MATCH($C262,'Référentiel'!$A$2:$A$83,0)),0)),"")))</f>
      </c>
      <c r="H262" s="21">
        <f>IF(ISNUMBER($G262),$G262-TODAY(),"")</f>
      </c>
      <c r="I262" s="20">
        <f>IF(AND($A262="",$C262=""),"",IF($T262="Non","Hors service",IF(AND($Q262="Location",ISNUMBER($R262),$R262&lt;TODAY()),"Location terminée",IF(OR($F262="Mise à l'arrêt",IF($A262="",0,SUMPRODUCT((Réserves!$B$2:$B$301=$A262)*(Réserves!$E$2:$E$301="Mise à l'arrêt")*(Réserves!$J$2:$J$301&lt;&gt;"Levée")*(Réserves!$J$2:$J$301&lt;&gt;"")))&gt;0),"Arrêt : réserve à lever",IF($C262="","Type à choisir",IF($N262="","Périodicité à saisir",IF(OR(ISTEXT($U262),ISTEXT($R262)),"Date à corriger",IF(AND($E262="",$Q262="Location",$S262&lt;&gt;"Oui"),"Rapport loueur à obtenir",IF(NOT(ISNUMBER($G262)),"Vérif. initiale à tracer",IF($H262&lt;0,"En retard",IF(AND($Q262="Location",$S262&lt;&gt;"Oui"),"Rapport loueur à obtenir",IF($H262&lt;='Tableau de bord'!$C$4,"À planifier","À jour"))))))))))))</f>
      </c>
      <c r="J262" s="22">
        <f>IF($A262="","",COUNTIFS(Réserves!$B$2:$B$301,$A262,Réserves!$J$2:$J$301,"Ouverte")+COUNTIFS(Réserves!$B$2:$B$301,$A262,Réserves!$J$2:$J$301,"En retard"))</f>
      </c>
      <c r="K262" s="20">
        <f>IF($C262="","",IFERROR(INDEX('Référentiel'!$B$2:$B$83,MATCH($C262,'Référentiel'!$A$2:$A$83,0)),"Type hors liste"))</f>
      </c>
      <c r="L262" s="22">
        <f>IF($C262="","",IF(IFERROR(INDEX('Référentiel'!$C$2:$C$83,MATCH($C262,'Référentiel'!$A$2:$A$83,0)),0)=0,"",IFERROR(INDEX('Référentiel'!$C$2:$C$83,MATCH($C262,'Référentiel'!$A$2:$A$83,0)),0)))</f>
      </c>
      <c r="M262" s="23"/>
      <c r="N262" s="22">
        <f>IF($C262="","",IF(IF($M262&lt;&gt;"",IF($L262&lt;&gt;"",MIN($L262,$M262),$M262),IF($L262&lt;&gt;"",$L262,IF(IFERROR(INDEX('Référentiel'!$D$2:$D$83,MATCH($C262,'Référentiel'!$A$2:$A$83,0)),0)&gt;0,IFERROR(INDEX('Référentiel'!$D$2:$D$83,MATCH($C262,'Référentiel'!$A$2:$A$83,0)),0),"")))="","",IF(AND(IFERROR(INDEX('Référentiel'!$F$2:$F$83,MATCH($C262,'Référentiel'!$A$2:$A$83,0)),0)&gt;0,N($J262)&gt;0),MIN(IF($M262&lt;&gt;"",IF($L262&lt;&gt;"",MIN($L262,$M262),$M262),IF($L262&lt;&gt;"",$L262,IF(IFERROR(INDEX('Référentiel'!$D$2:$D$83,MATCH($C262,'Référentiel'!$A$2:$A$83,0)),0)&gt;0,IFERROR(INDEX('Référentiel'!$D$2:$D$83,MATCH($C262,'Référentiel'!$A$2:$A$83,0)),0),""))),IFERROR(INDEX('Référentiel'!$F$2:$F$83,MATCH($C262,'Référentiel'!$A$2:$A$83,0)),0)),IF($M262&lt;&gt;"",IF($L262&lt;&gt;"",MIN($L262,$M262),$M262),IF($L262&lt;&gt;"",$L262,IF(IFERROR(INDEX('Référentiel'!$D$2:$D$83,MATCH($C262,'Référentiel'!$A$2:$A$83,0)),0)&gt;0,IFERROR(INDEX('Référentiel'!$D$2:$D$83,MATCH($C262,'Référentiel'!$A$2:$A$83,0)),0),""))))))</f>
      </c>
      <c r="O262" s="9"/>
      <c r="P262" s="23"/>
      <c r="Q262" s="9"/>
      <c r="R262" s="24"/>
      <c r="S262" s="23"/>
      <c r="T262" s="23"/>
      <c r="U262" s="24"/>
      <c r="V262" s="20">
        <f>IF($C262="","",IFERROR(INDEX('Référentiel'!$K$2:$K$83,MATCH($C262,'Référentiel'!$A$2:$A$83,0)),""))</f>
      </c>
      <c r="W262" s="20">
        <f>IF(AND(ISNUMBER($G262),$I262&lt;&gt;"Hors service",$I262&lt;&gt;"Location terminée"),$G262+ROW()/100000,"")</f>
      </c>
      <c r="X262" s="9"/>
    </row>
    <row r="263" spans="1:24" x14ac:dyDescent="0.25">
      <c r="A263" s="9"/>
      <c r="B263" s="9"/>
      <c r="C263" s="9"/>
      <c r="D263" s="9"/>
      <c r="E263" s="19">
        <f>IF($A263="","",IF(SUMPRODUCT(MAX((Vérifications!$B$2:$B$1001=$A263)*Vérifications!$L$2:$L$1001))=0,"",SUMPRODUCT(MAX((Vérifications!$B$2:$B$1001=$A263)*Vérifications!$L$2:$L$1001))))</f>
      </c>
      <c r="F263" s="20">
        <f>IF($E263="","",IFERROR(INDEX(Vérifications!$E$2:$E$1001,MATCH($A263&amp;"|"&amp;$E263,Vérifications!$M$2:$M$1001,0)),""))</f>
      </c>
      <c r="G263" s="19">
        <f>IF($N263="","",IF(ISNUMBER($E263),EDATE($E263,$N263),IF(AND(ISNUMBER($U263),IFERROR(INDEX('Référentiel'!$E$2:$E$83,MATCH($C263,'Référentiel'!$A$2:$A$83,0)),0)&gt;0),EDATE($U263,IFERROR(INDEX('Référentiel'!$E$2:$E$83,MATCH($C263,'Référentiel'!$A$2:$A$83,0)),0)),"")))</f>
      </c>
      <c r="H263" s="21">
        <f>IF(ISNUMBER($G263),$G263-TODAY(),"")</f>
      </c>
      <c r="I263" s="20">
        <f>IF(AND($A263="",$C263=""),"",IF($T263="Non","Hors service",IF(AND($Q263="Location",ISNUMBER($R263),$R263&lt;TODAY()),"Location terminée",IF(OR($F263="Mise à l'arrêt",IF($A263="",0,SUMPRODUCT((Réserves!$B$2:$B$301=$A263)*(Réserves!$E$2:$E$301="Mise à l'arrêt")*(Réserves!$J$2:$J$301&lt;&gt;"Levée")*(Réserves!$J$2:$J$301&lt;&gt;"")))&gt;0),"Arrêt : réserve à lever",IF($C263="","Type à choisir",IF($N263="","Périodicité à saisir",IF(OR(ISTEXT($U263),ISTEXT($R263)),"Date à corriger",IF(AND($E263="",$Q263="Location",$S263&lt;&gt;"Oui"),"Rapport loueur à obtenir",IF(NOT(ISNUMBER($G263)),"Vérif. initiale à tracer",IF($H263&lt;0,"En retard",IF(AND($Q263="Location",$S263&lt;&gt;"Oui"),"Rapport loueur à obtenir",IF($H263&lt;='Tableau de bord'!$C$4,"À planifier","À jour"))))))))))))</f>
      </c>
      <c r="J263" s="22">
        <f>IF($A263="","",COUNTIFS(Réserves!$B$2:$B$301,$A263,Réserves!$J$2:$J$301,"Ouverte")+COUNTIFS(Réserves!$B$2:$B$301,$A263,Réserves!$J$2:$J$301,"En retard"))</f>
      </c>
      <c r="K263" s="20">
        <f>IF($C263="","",IFERROR(INDEX('Référentiel'!$B$2:$B$83,MATCH($C263,'Référentiel'!$A$2:$A$83,0)),"Type hors liste"))</f>
      </c>
      <c r="L263" s="22">
        <f>IF($C263="","",IF(IFERROR(INDEX('Référentiel'!$C$2:$C$83,MATCH($C263,'Référentiel'!$A$2:$A$83,0)),0)=0,"",IFERROR(INDEX('Référentiel'!$C$2:$C$83,MATCH($C263,'Référentiel'!$A$2:$A$83,0)),0)))</f>
      </c>
      <c r="M263" s="23"/>
      <c r="N263" s="22">
        <f>IF($C263="","",IF(IF($M263&lt;&gt;"",IF($L263&lt;&gt;"",MIN($L263,$M263),$M263),IF($L263&lt;&gt;"",$L263,IF(IFERROR(INDEX('Référentiel'!$D$2:$D$83,MATCH($C263,'Référentiel'!$A$2:$A$83,0)),0)&gt;0,IFERROR(INDEX('Référentiel'!$D$2:$D$83,MATCH($C263,'Référentiel'!$A$2:$A$83,0)),0),"")))="","",IF(AND(IFERROR(INDEX('Référentiel'!$F$2:$F$83,MATCH($C263,'Référentiel'!$A$2:$A$83,0)),0)&gt;0,N($J263)&gt;0),MIN(IF($M263&lt;&gt;"",IF($L263&lt;&gt;"",MIN($L263,$M263),$M263),IF($L263&lt;&gt;"",$L263,IF(IFERROR(INDEX('Référentiel'!$D$2:$D$83,MATCH($C263,'Référentiel'!$A$2:$A$83,0)),0)&gt;0,IFERROR(INDEX('Référentiel'!$D$2:$D$83,MATCH($C263,'Référentiel'!$A$2:$A$83,0)),0),""))),IFERROR(INDEX('Référentiel'!$F$2:$F$83,MATCH($C263,'Référentiel'!$A$2:$A$83,0)),0)),IF($M263&lt;&gt;"",IF($L263&lt;&gt;"",MIN($L263,$M263),$M263),IF($L263&lt;&gt;"",$L263,IF(IFERROR(INDEX('Référentiel'!$D$2:$D$83,MATCH($C263,'Référentiel'!$A$2:$A$83,0)),0)&gt;0,IFERROR(INDEX('Référentiel'!$D$2:$D$83,MATCH($C263,'Référentiel'!$A$2:$A$83,0)),0),""))))))</f>
      </c>
      <c r="O263" s="9"/>
      <c r="P263" s="23"/>
      <c r="Q263" s="9"/>
      <c r="R263" s="24"/>
      <c r="S263" s="23"/>
      <c r="T263" s="23"/>
      <c r="U263" s="24"/>
      <c r="V263" s="20">
        <f>IF($C263="","",IFERROR(INDEX('Référentiel'!$K$2:$K$83,MATCH($C263,'Référentiel'!$A$2:$A$83,0)),""))</f>
      </c>
      <c r="W263" s="20">
        <f>IF(AND(ISNUMBER($G263),$I263&lt;&gt;"Hors service",$I263&lt;&gt;"Location terminée"),$G263+ROW()/100000,"")</f>
      </c>
      <c r="X263" s="9"/>
    </row>
    <row r="264" spans="1:24" x14ac:dyDescent="0.25">
      <c r="A264" s="9"/>
      <c r="B264" s="9"/>
      <c r="C264" s="9"/>
      <c r="D264" s="9"/>
      <c r="E264" s="19">
        <f>IF($A264="","",IF(SUMPRODUCT(MAX((Vérifications!$B$2:$B$1001=$A264)*Vérifications!$L$2:$L$1001))=0,"",SUMPRODUCT(MAX((Vérifications!$B$2:$B$1001=$A264)*Vérifications!$L$2:$L$1001))))</f>
      </c>
      <c r="F264" s="20">
        <f>IF($E264="","",IFERROR(INDEX(Vérifications!$E$2:$E$1001,MATCH($A264&amp;"|"&amp;$E264,Vérifications!$M$2:$M$1001,0)),""))</f>
      </c>
      <c r="G264" s="19">
        <f>IF($N264="","",IF(ISNUMBER($E264),EDATE($E264,$N264),IF(AND(ISNUMBER($U264),IFERROR(INDEX('Référentiel'!$E$2:$E$83,MATCH($C264,'Référentiel'!$A$2:$A$83,0)),0)&gt;0),EDATE($U264,IFERROR(INDEX('Référentiel'!$E$2:$E$83,MATCH($C264,'Référentiel'!$A$2:$A$83,0)),0)),"")))</f>
      </c>
      <c r="H264" s="21">
        <f>IF(ISNUMBER($G264),$G264-TODAY(),"")</f>
      </c>
      <c r="I264" s="20">
        <f>IF(AND($A264="",$C264=""),"",IF($T264="Non","Hors service",IF(AND($Q264="Location",ISNUMBER($R264),$R264&lt;TODAY()),"Location terminée",IF(OR($F264="Mise à l'arrêt",IF($A264="",0,SUMPRODUCT((Réserves!$B$2:$B$301=$A264)*(Réserves!$E$2:$E$301="Mise à l'arrêt")*(Réserves!$J$2:$J$301&lt;&gt;"Levée")*(Réserves!$J$2:$J$301&lt;&gt;"")))&gt;0),"Arrêt : réserve à lever",IF($C264="","Type à choisir",IF($N264="","Périodicité à saisir",IF(OR(ISTEXT($U264),ISTEXT($R264)),"Date à corriger",IF(AND($E264="",$Q264="Location",$S264&lt;&gt;"Oui"),"Rapport loueur à obtenir",IF(NOT(ISNUMBER($G264)),"Vérif. initiale à tracer",IF($H264&lt;0,"En retard",IF(AND($Q264="Location",$S264&lt;&gt;"Oui"),"Rapport loueur à obtenir",IF($H264&lt;='Tableau de bord'!$C$4,"À planifier","À jour"))))))))))))</f>
      </c>
      <c r="J264" s="22">
        <f>IF($A264="","",COUNTIFS(Réserves!$B$2:$B$301,$A264,Réserves!$J$2:$J$301,"Ouverte")+COUNTIFS(Réserves!$B$2:$B$301,$A264,Réserves!$J$2:$J$301,"En retard"))</f>
      </c>
      <c r="K264" s="20">
        <f>IF($C264="","",IFERROR(INDEX('Référentiel'!$B$2:$B$83,MATCH($C264,'Référentiel'!$A$2:$A$83,0)),"Type hors liste"))</f>
      </c>
      <c r="L264" s="22">
        <f>IF($C264="","",IF(IFERROR(INDEX('Référentiel'!$C$2:$C$83,MATCH($C264,'Référentiel'!$A$2:$A$83,0)),0)=0,"",IFERROR(INDEX('Référentiel'!$C$2:$C$83,MATCH($C264,'Référentiel'!$A$2:$A$83,0)),0)))</f>
      </c>
      <c r="M264" s="23"/>
      <c r="N264" s="22">
        <f>IF($C264="","",IF(IF($M264&lt;&gt;"",IF($L264&lt;&gt;"",MIN($L264,$M264),$M264),IF($L264&lt;&gt;"",$L264,IF(IFERROR(INDEX('Référentiel'!$D$2:$D$83,MATCH($C264,'Référentiel'!$A$2:$A$83,0)),0)&gt;0,IFERROR(INDEX('Référentiel'!$D$2:$D$83,MATCH($C264,'Référentiel'!$A$2:$A$83,0)),0),"")))="","",IF(AND(IFERROR(INDEX('Référentiel'!$F$2:$F$83,MATCH($C264,'Référentiel'!$A$2:$A$83,0)),0)&gt;0,N($J264)&gt;0),MIN(IF($M264&lt;&gt;"",IF($L264&lt;&gt;"",MIN($L264,$M264),$M264),IF($L264&lt;&gt;"",$L264,IF(IFERROR(INDEX('Référentiel'!$D$2:$D$83,MATCH($C264,'Référentiel'!$A$2:$A$83,0)),0)&gt;0,IFERROR(INDEX('Référentiel'!$D$2:$D$83,MATCH($C264,'Référentiel'!$A$2:$A$83,0)),0),""))),IFERROR(INDEX('Référentiel'!$F$2:$F$83,MATCH($C264,'Référentiel'!$A$2:$A$83,0)),0)),IF($M264&lt;&gt;"",IF($L264&lt;&gt;"",MIN($L264,$M264),$M264),IF($L264&lt;&gt;"",$L264,IF(IFERROR(INDEX('Référentiel'!$D$2:$D$83,MATCH($C264,'Référentiel'!$A$2:$A$83,0)),0)&gt;0,IFERROR(INDEX('Référentiel'!$D$2:$D$83,MATCH($C264,'Référentiel'!$A$2:$A$83,0)),0),""))))))</f>
      </c>
      <c r="O264" s="9"/>
      <c r="P264" s="23"/>
      <c r="Q264" s="9"/>
      <c r="R264" s="24"/>
      <c r="S264" s="23"/>
      <c r="T264" s="23"/>
      <c r="U264" s="24"/>
      <c r="V264" s="20">
        <f>IF($C264="","",IFERROR(INDEX('Référentiel'!$K$2:$K$83,MATCH($C264,'Référentiel'!$A$2:$A$83,0)),""))</f>
      </c>
      <c r="W264" s="20">
        <f>IF(AND(ISNUMBER($G264),$I264&lt;&gt;"Hors service",$I264&lt;&gt;"Location terminée"),$G264+ROW()/100000,"")</f>
      </c>
      <c r="X264" s="9"/>
    </row>
    <row r="265" spans="1:24" x14ac:dyDescent="0.25">
      <c r="A265" s="9"/>
      <c r="B265" s="9"/>
      <c r="C265" s="9"/>
      <c r="D265" s="9"/>
      <c r="E265" s="19">
        <f>IF($A265="","",IF(SUMPRODUCT(MAX((Vérifications!$B$2:$B$1001=$A265)*Vérifications!$L$2:$L$1001))=0,"",SUMPRODUCT(MAX((Vérifications!$B$2:$B$1001=$A265)*Vérifications!$L$2:$L$1001))))</f>
      </c>
      <c r="F265" s="20">
        <f>IF($E265="","",IFERROR(INDEX(Vérifications!$E$2:$E$1001,MATCH($A265&amp;"|"&amp;$E265,Vérifications!$M$2:$M$1001,0)),""))</f>
      </c>
      <c r="G265" s="19">
        <f>IF($N265="","",IF(ISNUMBER($E265),EDATE($E265,$N265),IF(AND(ISNUMBER($U265),IFERROR(INDEX('Référentiel'!$E$2:$E$83,MATCH($C265,'Référentiel'!$A$2:$A$83,0)),0)&gt;0),EDATE($U265,IFERROR(INDEX('Référentiel'!$E$2:$E$83,MATCH($C265,'Référentiel'!$A$2:$A$83,0)),0)),"")))</f>
      </c>
      <c r="H265" s="21">
        <f>IF(ISNUMBER($G265),$G265-TODAY(),"")</f>
      </c>
      <c r="I265" s="20">
        <f>IF(AND($A265="",$C265=""),"",IF($T265="Non","Hors service",IF(AND($Q265="Location",ISNUMBER($R265),$R265&lt;TODAY()),"Location terminée",IF(OR($F265="Mise à l'arrêt",IF($A265="",0,SUMPRODUCT((Réserves!$B$2:$B$301=$A265)*(Réserves!$E$2:$E$301="Mise à l'arrêt")*(Réserves!$J$2:$J$301&lt;&gt;"Levée")*(Réserves!$J$2:$J$301&lt;&gt;"")))&gt;0),"Arrêt : réserve à lever",IF($C265="","Type à choisir",IF($N265="","Périodicité à saisir",IF(OR(ISTEXT($U265),ISTEXT($R265)),"Date à corriger",IF(AND($E265="",$Q265="Location",$S265&lt;&gt;"Oui"),"Rapport loueur à obtenir",IF(NOT(ISNUMBER($G265)),"Vérif. initiale à tracer",IF($H265&lt;0,"En retard",IF(AND($Q265="Location",$S265&lt;&gt;"Oui"),"Rapport loueur à obtenir",IF($H265&lt;='Tableau de bord'!$C$4,"À planifier","À jour"))))))))))))</f>
      </c>
      <c r="J265" s="22">
        <f>IF($A265="","",COUNTIFS(Réserves!$B$2:$B$301,$A265,Réserves!$J$2:$J$301,"Ouverte")+COUNTIFS(Réserves!$B$2:$B$301,$A265,Réserves!$J$2:$J$301,"En retard"))</f>
      </c>
      <c r="K265" s="20">
        <f>IF($C265="","",IFERROR(INDEX('Référentiel'!$B$2:$B$83,MATCH($C265,'Référentiel'!$A$2:$A$83,0)),"Type hors liste"))</f>
      </c>
      <c r="L265" s="22">
        <f>IF($C265="","",IF(IFERROR(INDEX('Référentiel'!$C$2:$C$83,MATCH($C265,'Référentiel'!$A$2:$A$83,0)),0)=0,"",IFERROR(INDEX('Référentiel'!$C$2:$C$83,MATCH($C265,'Référentiel'!$A$2:$A$83,0)),0)))</f>
      </c>
      <c r="M265" s="23"/>
      <c r="N265" s="22">
        <f>IF($C265="","",IF(IF($M265&lt;&gt;"",IF($L265&lt;&gt;"",MIN($L265,$M265),$M265),IF($L265&lt;&gt;"",$L265,IF(IFERROR(INDEX('Référentiel'!$D$2:$D$83,MATCH($C265,'Référentiel'!$A$2:$A$83,0)),0)&gt;0,IFERROR(INDEX('Référentiel'!$D$2:$D$83,MATCH($C265,'Référentiel'!$A$2:$A$83,0)),0),"")))="","",IF(AND(IFERROR(INDEX('Référentiel'!$F$2:$F$83,MATCH($C265,'Référentiel'!$A$2:$A$83,0)),0)&gt;0,N($J265)&gt;0),MIN(IF($M265&lt;&gt;"",IF($L265&lt;&gt;"",MIN($L265,$M265),$M265),IF($L265&lt;&gt;"",$L265,IF(IFERROR(INDEX('Référentiel'!$D$2:$D$83,MATCH($C265,'Référentiel'!$A$2:$A$83,0)),0)&gt;0,IFERROR(INDEX('Référentiel'!$D$2:$D$83,MATCH($C265,'Référentiel'!$A$2:$A$83,0)),0),""))),IFERROR(INDEX('Référentiel'!$F$2:$F$83,MATCH($C265,'Référentiel'!$A$2:$A$83,0)),0)),IF($M265&lt;&gt;"",IF($L265&lt;&gt;"",MIN($L265,$M265),$M265),IF($L265&lt;&gt;"",$L265,IF(IFERROR(INDEX('Référentiel'!$D$2:$D$83,MATCH($C265,'Référentiel'!$A$2:$A$83,0)),0)&gt;0,IFERROR(INDEX('Référentiel'!$D$2:$D$83,MATCH($C265,'Référentiel'!$A$2:$A$83,0)),0),""))))))</f>
      </c>
      <c r="O265" s="9"/>
      <c r="P265" s="23"/>
      <c r="Q265" s="9"/>
      <c r="R265" s="24"/>
      <c r="S265" s="23"/>
      <c r="T265" s="23"/>
      <c r="U265" s="24"/>
      <c r="V265" s="20">
        <f>IF($C265="","",IFERROR(INDEX('Référentiel'!$K$2:$K$83,MATCH($C265,'Référentiel'!$A$2:$A$83,0)),""))</f>
      </c>
      <c r="W265" s="20">
        <f>IF(AND(ISNUMBER($G265),$I265&lt;&gt;"Hors service",$I265&lt;&gt;"Location terminée"),$G265+ROW()/100000,"")</f>
      </c>
      <c r="X265" s="9"/>
    </row>
    <row r="266" spans="1:24" x14ac:dyDescent="0.25">
      <c r="A266" s="9"/>
      <c r="B266" s="9"/>
      <c r="C266" s="9"/>
      <c r="D266" s="9"/>
      <c r="E266" s="19">
        <f>IF($A266="","",IF(SUMPRODUCT(MAX((Vérifications!$B$2:$B$1001=$A266)*Vérifications!$L$2:$L$1001))=0,"",SUMPRODUCT(MAX((Vérifications!$B$2:$B$1001=$A266)*Vérifications!$L$2:$L$1001))))</f>
      </c>
      <c r="F266" s="20">
        <f>IF($E266="","",IFERROR(INDEX(Vérifications!$E$2:$E$1001,MATCH($A266&amp;"|"&amp;$E266,Vérifications!$M$2:$M$1001,0)),""))</f>
      </c>
      <c r="G266" s="19">
        <f>IF($N266="","",IF(ISNUMBER($E266),EDATE($E266,$N266),IF(AND(ISNUMBER($U266),IFERROR(INDEX('Référentiel'!$E$2:$E$83,MATCH($C266,'Référentiel'!$A$2:$A$83,0)),0)&gt;0),EDATE($U266,IFERROR(INDEX('Référentiel'!$E$2:$E$83,MATCH($C266,'Référentiel'!$A$2:$A$83,0)),0)),"")))</f>
      </c>
      <c r="H266" s="21">
        <f>IF(ISNUMBER($G266),$G266-TODAY(),"")</f>
      </c>
      <c r="I266" s="20">
        <f>IF(AND($A266="",$C266=""),"",IF($T266="Non","Hors service",IF(AND($Q266="Location",ISNUMBER($R266),$R266&lt;TODAY()),"Location terminée",IF(OR($F266="Mise à l'arrêt",IF($A266="",0,SUMPRODUCT((Réserves!$B$2:$B$301=$A266)*(Réserves!$E$2:$E$301="Mise à l'arrêt")*(Réserves!$J$2:$J$301&lt;&gt;"Levée")*(Réserves!$J$2:$J$301&lt;&gt;"")))&gt;0),"Arrêt : réserve à lever",IF($C266="","Type à choisir",IF($N266="","Périodicité à saisir",IF(OR(ISTEXT($U266),ISTEXT($R266)),"Date à corriger",IF(AND($E266="",$Q266="Location",$S266&lt;&gt;"Oui"),"Rapport loueur à obtenir",IF(NOT(ISNUMBER($G266)),"Vérif. initiale à tracer",IF($H266&lt;0,"En retard",IF(AND($Q266="Location",$S266&lt;&gt;"Oui"),"Rapport loueur à obtenir",IF($H266&lt;='Tableau de bord'!$C$4,"À planifier","À jour"))))))))))))</f>
      </c>
      <c r="J266" s="22">
        <f>IF($A266="","",COUNTIFS(Réserves!$B$2:$B$301,$A266,Réserves!$J$2:$J$301,"Ouverte")+COUNTIFS(Réserves!$B$2:$B$301,$A266,Réserves!$J$2:$J$301,"En retard"))</f>
      </c>
      <c r="K266" s="20">
        <f>IF($C266="","",IFERROR(INDEX('Référentiel'!$B$2:$B$83,MATCH($C266,'Référentiel'!$A$2:$A$83,0)),"Type hors liste"))</f>
      </c>
      <c r="L266" s="22">
        <f>IF($C266="","",IF(IFERROR(INDEX('Référentiel'!$C$2:$C$83,MATCH($C266,'Référentiel'!$A$2:$A$83,0)),0)=0,"",IFERROR(INDEX('Référentiel'!$C$2:$C$83,MATCH($C266,'Référentiel'!$A$2:$A$83,0)),0)))</f>
      </c>
      <c r="M266" s="23"/>
      <c r="N266" s="22">
        <f>IF($C266="","",IF(IF($M266&lt;&gt;"",IF($L266&lt;&gt;"",MIN($L266,$M266),$M266),IF($L266&lt;&gt;"",$L266,IF(IFERROR(INDEX('Référentiel'!$D$2:$D$83,MATCH($C266,'Référentiel'!$A$2:$A$83,0)),0)&gt;0,IFERROR(INDEX('Référentiel'!$D$2:$D$83,MATCH($C266,'Référentiel'!$A$2:$A$83,0)),0),"")))="","",IF(AND(IFERROR(INDEX('Référentiel'!$F$2:$F$83,MATCH($C266,'Référentiel'!$A$2:$A$83,0)),0)&gt;0,N($J266)&gt;0),MIN(IF($M266&lt;&gt;"",IF($L266&lt;&gt;"",MIN($L266,$M266),$M266),IF($L266&lt;&gt;"",$L266,IF(IFERROR(INDEX('Référentiel'!$D$2:$D$83,MATCH($C266,'Référentiel'!$A$2:$A$83,0)),0)&gt;0,IFERROR(INDEX('Référentiel'!$D$2:$D$83,MATCH($C266,'Référentiel'!$A$2:$A$83,0)),0),""))),IFERROR(INDEX('Référentiel'!$F$2:$F$83,MATCH($C266,'Référentiel'!$A$2:$A$83,0)),0)),IF($M266&lt;&gt;"",IF($L266&lt;&gt;"",MIN($L266,$M266),$M266),IF($L266&lt;&gt;"",$L266,IF(IFERROR(INDEX('Référentiel'!$D$2:$D$83,MATCH($C266,'Référentiel'!$A$2:$A$83,0)),0)&gt;0,IFERROR(INDEX('Référentiel'!$D$2:$D$83,MATCH($C266,'Référentiel'!$A$2:$A$83,0)),0),""))))))</f>
      </c>
      <c r="O266" s="9"/>
      <c r="P266" s="23"/>
      <c r="Q266" s="9"/>
      <c r="R266" s="24"/>
      <c r="S266" s="23"/>
      <c r="T266" s="23"/>
      <c r="U266" s="24"/>
      <c r="V266" s="20">
        <f>IF($C266="","",IFERROR(INDEX('Référentiel'!$K$2:$K$83,MATCH($C266,'Référentiel'!$A$2:$A$83,0)),""))</f>
      </c>
      <c r="W266" s="20">
        <f>IF(AND(ISNUMBER($G266),$I266&lt;&gt;"Hors service",$I266&lt;&gt;"Location terminée"),$G266+ROW()/100000,"")</f>
      </c>
      <c r="X266" s="9"/>
    </row>
    <row r="267" spans="1:24" x14ac:dyDescent="0.25">
      <c r="A267" s="9"/>
      <c r="B267" s="9"/>
      <c r="C267" s="9"/>
      <c r="D267" s="9"/>
      <c r="E267" s="19">
        <f>IF($A267="","",IF(SUMPRODUCT(MAX((Vérifications!$B$2:$B$1001=$A267)*Vérifications!$L$2:$L$1001))=0,"",SUMPRODUCT(MAX((Vérifications!$B$2:$B$1001=$A267)*Vérifications!$L$2:$L$1001))))</f>
      </c>
      <c r="F267" s="20">
        <f>IF($E267="","",IFERROR(INDEX(Vérifications!$E$2:$E$1001,MATCH($A267&amp;"|"&amp;$E267,Vérifications!$M$2:$M$1001,0)),""))</f>
      </c>
      <c r="G267" s="19">
        <f>IF($N267="","",IF(ISNUMBER($E267),EDATE($E267,$N267),IF(AND(ISNUMBER($U267),IFERROR(INDEX('Référentiel'!$E$2:$E$83,MATCH($C267,'Référentiel'!$A$2:$A$83,0)),0)&gt;0),EDATE($U267,IFERROR(INDEX('Référentiel'!$E$2:$E$83,MATCH($C267,'Référentiel'!$A$2:$A$83,0)),0)),"")))</f>
      </c>
      <c r="H267" s="21">
        <f>IF(ISNUMBER($G267),$G267-TODAY(),"")</f>
      </c>
      <c r="I267" s="20">
        <f>IF(AND($A267="",$C267=""),"",IF($T267="Non","Hors service",IF(AND($Q267="Location",ISNUMBER($R267),$R267&lt;TODAY()),"Location terminée",IF(OR($F267="Mise à l'arrêt",IF($A267="",0,SUMPRODUCT((Réserves!$B$2:$B$301=$A267)*(Réserves!$E$2:$E$301="Mise à l'arrêt")*(Réserves!$J$2:$J$301&lt;&gt;"Levée")*(Réserves!$J$2:$J$301&lt;&gt;"")))&gt;0),"Arrêt : réserve à lever",IF($C267="","Type à choisir",IF($N267="","Périodicité à saisir",IF(OR(ISTEXT($U267),ISTEXT($R267)),"Date à corriger",IF(AND($E267="",$Q267="Location",$S267&lt;&gt;"Oui"),"Rapport loueur à obtenir",IF(NOT(ISNUMBER($G267)),"Vérif. initiale à tracer",IF($H267&lt;0,"En retard",IF(AND($Q267="Location",$S267&lt;&gt;"Oui"),"Rapport loueur à obtenir",IF($H267&lt;='Tableau de bord'!$C$4,"À planifier","À jour"))))))))))))</f>
      </c>
      <c r="J267" s="22">
        <f>IF($A267="","",COUNTIFS(Réserves!$B$2:$B$301,$A267,Réserves!$J$2:$J$301,"Ouverte")+COUNTIFS(Réserves!$B$2:$B$301,$A267,Réserves!$J$2:$J$301,"En retard"))</f>
      </c>
      <c r="K267" s="20">
        <f>IF($C267="","",IFERROR(INDEX('Référentiel'!$B$2:$B$83,MATCH($C267,'Référentiel'!$A$2:$A$83,0)),"Type hors liste"))</f>
      </c>
      <c r="L267" s="22">
        <f>IF($C267="","",IF(IFERROR(INDEX('Référentiel'!$C$2:$C$83,MATCH($C267,'Référentiel'!$A$2:$A$83,0)),0)=0,"",IFERROR(INDEX('Référentiel'!$C$2:$C$83,MATCH($C267,'Référentiel'!$A$2:$A$83,0)),0)))</f>
      </c>
      <c r="M267" s="23"/>
      <c r="N267" s="22">
        <f>IF($C267="","",IF(IF($M267&lt;&gt;"",IF($L267&lt;&gt;"",MIN($L267,$M267),$M267),IF($L267&lt;&gt;"",$L267,IF(IFERROR(INDEX('Référentiel'!$D$2:$D$83,MATCH($C267,'Référentiel'!$A$2:$A$83,0)),0)&gt;0,IFERROR(INDEX('Référentiel'!$D$2:$D$83,MATCH($C267,'Référentiel'!$A$2:$A$83,0)),0),"")))="","",IF(AND(IFERROR(INDEX('Référentiel'!$F$2:$F$83,MATCH($C267,'Référentiel'!$A$2:$A$83,0)),0)&gt;0,N($J267)&gt;0),MIN(IF($M267&lt;&gt;"",IF($L267&lt;&gt;"",MIN($L267,$M267),$M267),IF($L267&lt;&gt;"",$L267,IF(IFERROR(INDEX('Référentiel'!$D$2:$D$83,MATCH($C267,'Référentiel'!$A$2:$A$83,0)),0)&gt;0,IFERROR(INDEX('Référentiel'!$D$2:$D$83,MATCH($C267,'Référentiel'!$A$2:$A$83,0)),0),""))),IFERROR(INDEX('Référentiel'!$F$2:$F$83,MATCH($C267,'Référentiel'!$A$2:$A$83,0)),0)),IF($M267&lt;&gt;"",IF($L267&lt;&gt;"",MIN($L267,$M267),$M267),IF($L267&lt;&gt;"",$L267,IF(IFERROR(INDEX('Référentiel'!$D$2:$D$83,MATCH($C267,'Référentiel'!$A$2:$A$83,0)),0)&gt;0,IFERROR(INDEX('Référentiel'!$D$2:$D$83,MATCH($C267,'Référentiel'!$A$2:$A$83,0)),0),""))))))</f>
      </c>
      <c r="O267" s="9"/>
      <c r="P267" s="23"/>
      <c r="Q267" s="9"/>
      <c r="R267" s="24"/>
      <c r="S267" s="23"/>
      <c r="T267" s="23"/>
      <c r="U267" s="24"/>
      <c r="V267" s="20">
        <f>IF($C267="","",IFERROR(INDEX('Référentiel'!$K$2:$K$83,MATCH($C267,'Référentiel'!$A$2:$A$83,0)),""))</f>
      </c>
      <c r="W267" s="20">
        <f>IF(AND(ISNUMBER($G267),$I267&lt;&gt;"Hors service",$I267&lt;&gt;"Location terminée"),$G267+ROW()/100000,"")</f>
      </c>
      <c r="X267" s="9"/>
    </row>
    <row r="268" spans="1:24" x14ac:dyDescent="0.25">
      <c r="A268" s="9"/>
      <c r="B268" s="9"/>
      <c r="C268" s="9"/>
      <c r="D268" s="9"/>
      <c r="E268" s="19">
        <f>IF($A268="","",IF(SUMPRODUCT(MAX((Vérifications!$B$2:$B$1001=$A268)*Vérifications!$L$2:$L$1001))=0,"",SUMPRODUCT(MAX((Vérifications!$B$2:$B$1001=$A268)*Vérifications!$L$2:$L$1001))))</f>
      </c>
      <c r="F268" s="20">
        <f>IF($E268="","",IFERROR(INDEX(Vérifications!$E$2:$E$1001,MATCH($A268&amp;"|"&amp;$E268,Vérifications!$M$2:$M$1001,0)),""))</f>
      </c>
      <c r="G268" s="19">
        <f>IF($N268="","",IF(ISNUMBER($E268),EDATE($E268,$N268),IF(AND(ISNUMBER($U268),IFERROR(INDEX('Référentiel'!$E$2:$E$83,MATCH($C268,'Référentiel'!$A$2:$A$83,0)),0)&gt;0),EDATE($U268,IFERROR(INDEX('Référentiel'!$E$2:$E$83,MATCH($C268,'Référentiel'!$A$2:$A$83,0)),0)),"")))</f>
      </c>
      <c r="H268" s="21">
        <f>IF(ISNUMBER($G268),$G268-TODAY(),"")</f>
      </c>
      <c r="I268" s="20">
        <f>IF(AND($A268="",$C268=""),"",IF($T268="Non","Hors service",IF(AND($Q268="Location",ISNUMBER($R268),$R268&lt;TODAY()),"Location terminée",IF(OR($F268="Mise à l'arrêt",IF($A268="",0,SUMPRODUCT((Réserves!$B$2:$B$301=$A268)*(Réserves!$E$2:$E$301="Mise à l'arrêt")*(Réserves!$J$2:$J$301&lt;&gt;"Levée")*(Réserves!$J$2:$J$301&lt;&gt;"")))&gt;0),"Arrêt : réserve à lever",IF($C268="","Type à choisir",IF($N268="","Périodicité à saisir",IF(OR(ISTEXT($U268),ISTEXT($R268)),"Date à corriger",IF(AND($E268="",$Q268="Location",$S268&lt;&gt;"Oui"),"Rapport loueur à obtenir",IF(NOT(ISNUMBER($G268)),"Vérif. initiale à tracer",IF($H268&lt;0,"En retard",IF(AND($Q268="Location",$S268&lt;&gt;"Oui"),"Rapport loueur à obtenir",IF($H268&lt;='Tableau de bord'!$C$4,"À planifier","À jour"))))))))))))</f>
      </c>
      <c r="J268" s="22">
        <f>IF($A268="","",COUNTIFS(Réserves!$B$2:$B$301,$A268,Réserves!$J$2:$J$301,"Ouverte")+COUNTIFS(Réserves!$B$2:$B$301,$A268,Réserves!$J$2:$J$301,"En retard"))</f>
      </c>
      <c r="K268" s="20">
        <f>IF($C268="","",IFERROR(INDEX('Référentiel'!$B$2:$B$83,MATCH($C268,'Référentiel'!$A$2:$A$83,0)),"Type hors liste"))</f>
      </c>
      <c r="L268" s="22">
        <f>IF($C268="","",IF(IFERROR(INDEX('Référentiel'!$C$2:$C$83,MATCH($C268,'Référentiel'!$A$2:$A$83,0)),0)=0,"",IFERROR(INDEX('Référentiel'!$C$2:$C$83,MATCH($C268,'Référentiel'!$A$2:$A$83,0)),0)))</f>
      </c>
      <c r="M268" s="23"/>
      <c r="N268" s="22">
        <f>IF($C268="","",IF(IF($M268&lt;&gt;"",IF($L268&lt;&gt;"",MIN($L268,$M268),$M268),IF($L268&lt;&gt;"",$L268,IF(IFERROR(INDEX('Référentiel'!$D$2:$D$83,MATCH($C268,'Référentiel'!$A$2:$A$83,0)),0)&gt;0,IFERROR(INDEX('Référentiel'!$D$2:$D$83,MATCH($C268,'Référentiel'!$A$2:$A$83,0)),0),"")))="","",IF(AND(IFERROR(INDEX('Référentiel'!$F$2:$F$83,MATCH($C268,'Référentiel'!$A$2:$A$83,0)),0)&gt;0,N($J268)&gt;0),MIN(IF($M268&lt;&gt;"",IF($L268&lt;&gt;"",MIN($L268,$M268),$M268),IF($L268&lt;&gt;"",$L268,IF(IFERROR(INDEX('Référentiel'!$D$2:$D$83,MATCH($C268,'Référentiel'!$A$2:$A$83,0)),0)&gt;0,IFERROR(INDEX('Référentiel'!$D$2:$D$83,MATCH($C268,'Référentiel'!$A$2:$A$83,0)),0),""))),IFERROR(INDEX('Référentiel'!$F$2:$F$83,MATCH($C268,'Référentiel'!$A$2:$A$83,0)),0)),IF($M268&lt;&gt;"",IF($L268&lt;&gt;"",MIN($L268,$M268),$M268),IF($L268&lt;&gt;"",$L268,IF(IFERROR(INDEX('Référentiel'!$D$2:$D$83,MATCH($C268,'Référentiel'!$A$2:$A$83,0)),0)&gt;0,IFERROR(INDEX('Référentiel'!$D$2:$D$83,MATCH($C268,'Référentiel'!$A$2:$A$83,0)),0),""))))))</f>
      </c>
      <c r="O268" s="9"/>
      <c r="P268" s="23"/>
      <c r="Q268" s="9"/>
      <c r="R268" s="24"/>
      <c r="S268" s="23"/>
      <c r="T268" s="23"/>
      <c r="U268" s="24"/>
      <c r="V268" s="20">
        <f>IF($C268="","",IFERROR(INDEX('Référentiel'!$K$2:$K$83,MATCH($C268,'Référentiel'!$A$2:$A$83,0)),""))</f>
      </c>
      <c r="W268" s="20">
        <f>IF(AND(ISNUMBER($G268),$I268&lt;&gt;"Hors service",$I268&lt;&gt;"Location terminée"),$G268+ROW()/100000,"")</f>
      </c>
      <c r="X268" s="9"/>
    </row>
    <row r="269" spans="1:24" x14ac:dyDescent="0.25">
      <c r="A269" s="9"/>
      <c r="B269" s="9"/>
      <c r="C269" s="9"/>
      <c r="D269" s="9"/>
      <c r="E269" s="19">
        <f>IF($A269="","",IF(SUMPRODUCT(MAX((Vérifications!$B$2:$B$1001=$A269)*Vérifications!$L$2:$L$1001))=0,"",SUMPRODUCT(MAX((Vérifications!$B$2:$B$1001=$A269)*Vérifications!$L$2:$L$1001))))</f>
      </c>
      <c r="F269" s="20">
        <f>IF($E269="","",IFERROR(INDEX(Vérifications!$E$2:$E$1001,MATCH($A269&amp;"|"&amp;$E269,Vérifications!$M$2:$M$1001,0)),""))</f>
      </c>
      <c r="G269" s="19">
        <f>IF($N269="","",IF(ISNUMBER($E269),EDATE($E269,$N269),IF(AND(ISNUMBER($U269),IFERROR(INDEX('Référentiel'!$E$2:$E$83,MATCH($C269,'Référentiel'!$A$2:$A$83,0)),0)&gt;0),EDATE($U269,IFERROR(INDEX('Référentiel'!$E$2:$E$83,MATCH($C269,'Référentiel'!$A$2:$A$83,0)),0)),"")))</f>
      </c>
      <c r="H269" s="21">
        <f>IF(ISNUMBER($G269),$G269-TODAY(),"")</f>
      </c>
      <c r="I269" s="20">
        <f>IF(AND($A269="",$C269=""),"",IF($T269="Non","Hors service",IF(AND($Q269="Location",ISNUMBER($R269),$R269&lt;TODAY()),"Location terminée",IF(OR($F269="Mise à l'arrêt",IF($A269="",0,SUMPRODUCT((Réserves!$B$2:$B$301=$A269)*(Réserves!$E$2:$E$301="Mise à l'arrêt")*(Réserves!$J$2:$J$301&lt;&gt;"Levée")*(Réserves!$J$2:$J$301&lt;&gt;"")))&gt;0),"Arrêt : réserve à lever",IF($C269="","Type à choisir",IF($N269="","Périodicité à saisir",IF(OR(ISTEXT($U269),ISTEXT($R269)),"Date à corriger",IF(AND($E269="",$Q269="Location",$S269&lt;&gt;"Oui"),"Rapport loueur à obtenir",IF(NOT(ISNUMBER($G269)),"Vérif. initiale à tracer",IF($H269&lt;0,"En retard",IF(AND($Q269="Location",$S269&lt;&gt;"Oui"),"Rapport loueur à obtenir",IF($H269&lt;='Tableau de bord'!$C$4,"À planifier","À jour"))))))))))))</f>
      </c>
      <c r="J269" s="22">
        <f>IF($A269="","",COUNTIFS(Réserves!$B$2:$B$301,$A269,Réserves!$J$2:$J$301,"Ouverte")+COUNTIFS(Réserves!$B$2:$B$301,$A269,Réserves!$J$2:$J$301,"En retard"))</f>
      </c>
      <c r="K269" s="20">
        <f>IF($C269="","",IFERROR(INDEX('Référentiel'!$B$2:$B$83,MATCH($C269,'Référentiel'!$A$2:$A$83,0)),"Type hors liste"))</f>
      </c>
      <c r="L269" s="22">
        <f>IF($C269="","",IF(IFERROR(INDEX('Référentiel'!$C$2:$C$83,MATCH($C269,'Référentiel'!$A$2:$A$83,0)),0)=0,"",IFERROR(INDEX('Référentiel'!$C$2:$C$83,MATCH($C269,'Référentiel'!$A$2:$A$83,0)),0)))</f>
      </c>
      <c r="M269" s="23"/>
      <c r="N269" s="22">
        <f>IF($C269="","",IF(IF($M269&lt;&gt;"",IF($L269&lt;&gt;"",MIN($L269,$M269),$M269),IF($L269&lt;&gt;"",$L269,IF(IFERROR(INDEX('Référentiel'!$D$2:$D$83,MATCH($C269,'Référentiel'!$A$2:$A$83,0)),0)&gt;0,IFERROR(INDEX('Référentiel'!$D$2:$D$83,MATCH($C269,'Référentiel'!$A$2:$A$83,0)),0),"")))="","",IF(AND(IFERROR(INDEX('Référentiel'!$F$2:$F$83,MATCH($C269,'Référentiel'!$A$2:$A$83,0)),0)&gt;0,N($J269)&gt;0),MIN(IF($M269&lt;&gt;"",IF($L269&lt;&gt;"",MIN($L269,$M269),$M269),IF($L269&lt;&gt;"",$L269,IF(IFERROR(INDEX('Référentiel'!$D$2:$D$83,MATCH($C269,'Référentiel'!$A$2:$A$83,0)),0)&gt;0,IFERROR(INDEX('Référentiel'!$D$2:$D$83,MATCH($C269,'Référentiel'!$A$2:$A$83,0)),0),""))),IFERROR(INDEX('Référentiel'!$F$2:$F$83,MATCH($C269,'Référentiel'!$A$2:$A$83,0)),0)),IF($M269&lt;&gt;"",IF($L269&lt;&gt;"",MIN($L269,$M269),$M269),IF($L269&lt;&gt;"",$L269,IF(IFERROR(INDEX('Référentiel'!$D$2:$D$83,MATCH($C269,'Référentiel'!$A$2:$A$83,0)),0)&gt;0,IFERROR(INDEX('Référentiel'!$D$2:$D$83,MATCH($C269,'Référentiel'!$A$2:$A$83,0)),0),""))))))</f>
      </c>
      <c r="O269" s="9"/>
      <c r="P269" s="23"/>
      <c r="Q269" s="9"/>
      <c r="R269" s="24"/>
      <c r="S269" s="23"/>
      <c r="T269" s="23"/>
      <c r="U269" s="24"/>
      <c r="V269" s="20">
        <f>IF($C269="","",IFERROR(INDEX('Référentiel'!$K$2:$K$83,MATCH($C269,'Référentiel'!$A$2:$A$83,0)),""))</f>
      </c>
      <c r="W269" s="20">
        <f>IF(AND(ISNUMBER($G269),$I269&lt;&gt;"Hors service",$I269&lt;&gt;"Location terminée"),$G269+ROW()/100000,"")</f>
      </c>
      <c r="X269" s="9"/>
    </row>
    <row r="270" spans="1:24" x14ac:dyDescent="0.25">
      <c r="A270" s="9"/>
      <c r="B270" s="9"/>
      <c r="C270" s="9"/>
      <c r="D270" s="9"/>
      <c r="E270" s="19">
        <f>IF($A270="","",IF(SUMPRODUCT(MAX((Vérifications!$B$2:$B$1001=$A270)*Vérifications!$L$2:$L$1001))=0,"",SUMPRODUCT(MAX((Vérifications!$B$2:$B$1001=$A270)*Vérifications!$L$2:$L$1001))))</f>
      </c>
      <c r="F270" s="20">
        <f>IF($E270="","",IFERROR(INDEX(Vérifications!$E$2:$E$1001,MATCH($A270&amp;"|"&amp;$E270,Vérifications!$M$2:$M$1001,0)),""))</f>
      </c>
      <c r="G270" s="19">
        <f>IF($N270="","",IF(ISNUMBER($E270),EDATE($E270,$N270),IF(AND(ISNUMBER($U270),IFERROR(INDEX('Référentiel'!$E$2:$E$83,MATCH($C270,'Référentiel'!$A$2:$A$83,0)),0)&gt;0),EDATE($U270,IFERROR(INDEX('Référentiel'!$E$2:$E$83,MATCH($C270,'Référentiel'!$A$2:$A$83,0)),0)),"")))</f>
      </c>
      <c r="H270" s="21">
        <f>IF(ISNUMBER($G270),$G270-TODAY(),"")</f>
      </c>
      <c r="I270" s="20">
        <f>IF(AND($A270="",$C270=""),"",IF($T270="Non","Hors service",IF(AND($Q270="Location",ISNUMBER($R270),$R270&lt;TODAY()),"Location terminée",IF(OR($F270="Mise à l'arrêt",IF($A270="",0,SUMPRODUCT((Réserves!$B$2:$B$301=$A270)*(Réserves!$E$2:$E$301="Mise à l'arrêt")*(Réserves!$J$2:$J$301&lt;&gt;"Levée")*(Réserves!$J$2:$J$301&lt;&gt;"")))&gt;0),"Arrêt : réserve à lever",IF($C270="","Type à choisir",IF($N270="","Périodicité à saisir",IF(OR(ISTEXT($U270),ISTEXT($R270)),"Date à corriger",IF(AND($E270="",$Q270="Location",$S270&lt;&gt;"Oui"),"Rapport loueur à obtenir",IF(NOT(ISNUMBER($G270)),"Vérif. initiale à tracer",IF($H270&lt;0,"En retard",IF(AND($Q270="Location",$S270&lt;&gt;"Oui"),"Rapport loueur à obtenir",IF($H270&lt;='Tableau de bord'!$C$4,"À planifier","À jour"))))))))))))</f>
      </c>
      <c r="J270" s="22">
        <f>IF($A270="","",COUNTIFS(Réserves!$B$2:$B$301,$A270,Réserves!$J$2:$J$301,"Ouverte")+COUNTIFS(Réserves!$B$2:$B$301,$A270,Réserves!$J$2:$J$301,"En retard"))</f>
      </c>
      <c r="K270" s="20">
        <f>IF($C270="","",IFERROR(INDEX('Référentiel'!$B$2:$B$83,MATCH($C270,'Référentiel'!$A$2:$A$83,0)),"Type hors liste"))</f>
      </c>
      <c r="L270" s="22">
        <f>IF($C270="","",IF(IFERROR(INDEX('Référentiel'!$C$2:$C$83,MATCH($C270,'Référentiel'!$A$2:$A$83,0)),0)=0,"",IFERROR(INDEX('Référentiel'!$C$2:$C$83,MATCH($C270,'Référentiel'!$A$2:$A$83,0)),0)))</f>
      </c>
      <c r="M270" s="23"/>
      <c r="N270" s="22">
        <f>IF($C270="","",IF(IF($M270&lt;&gt;"",IF($L270&lt;&gt;"",MIN($L270,$M270),$M270),IF($L270&lt;&gt;"",$L270,IF(IFERROR(INDEX('Référentiel'!$D$2:$D$83,MATCH($C270,'Référentiel'!$A$2:$A$83,0)),0)&gt;0,IFERROR(INDEX('Référentiel'!$D$2:$D$83,MATCH($C270,'Référentiel'!$A$2:$A$83,0)),0),"")))="","",IF(AND(IFERROR(INDEX('Référentiel'!$F$2:$F$83,MATCH($C270,'Référentiel'!$A$2:$A$83,0)),0)&gt;0,N($J270)&gt;0),MIN(IF($M270&lt;&gt;"",IF($L270&lt;&gt;"",MIN($L270,$M270),$M270),IF($L270&lt;&gt;"",$L270,IF(IFERROR(INDEX('Référentiel'!$D$2:$D$83,MATCH($C270,'Référentiel'!$A$2:$A$83,0)),0)&gt;0,IFERROR(INDEX('Référentiel'!$D$2:$D$83,MATCH($C270,'Référentiel'!$A$2:$A$83,0)),0),""))),IFERROR(INDEX('Référentiel'!$F$2:$F$83,MATCH($C270,'Référentiel'!$A$2:$A$83,0)),0)),IF($M270&lt;&gt;"",IF($L270&lt;&gt;"",MIN($L270,$M270),$M270),IF($L270&lt;&gt;"",$L270,IF(IFERROR(INDEX('Référentiel'!$D$2:$D$83,MATCH($C270,'Référentiel'!$A$2:$A$83,0)),0)&gt;0,IFERROR(INDEX('Référentiel'!$D$2:$D$83,MATCH($C270,'Référentiel'!$A$2:$A$83,0)),0),""))))))</f>
      </c>
      <c r="O270" s="9"/>
      <c r="P270" s="23"/>
      <c r="Q270" s="9"/>
      <c r="R270" s="24"/>
      <c r="S270" s="23"/>
      <c r="T270" s="23"/>
      <c r="U270" s="24"/>
      <c r="V270" s="20">
        <f>IF($C270="","",IFERROR(INDEX('Référentiel'!$K$2:$K$83,MATCH($C270,'Référentiel'!$A$2:$A$83,0)),""))</f>
      </c>
      <c r="W270" s="20">
        <f>IF(AND(ISNUMBER($G270),$I270&lt;&gt;"Hors service",$I270&lt;&gt;"Location terminée"),$G270+ROW()/100000,"")</f>
      </c>
      <c r="X270" s="9"/>
    </row>
    <row r="271" spans="1:24" x14ac:dyDescent="0.25">
      <c r="A271" s="9"/>
      <c r="B271" s="9"/>
      <c r="C271" s="9"/>
      <c r="D271" s="9"/>
      <c r="E271" s="19">
        <f>IF($A271="","",IF(SUMPRODUCT(MAX((Vérifications!$B$2:$B$1001=$A271)*Vérifications!$L$2:$L$1001))=0,"",SUMPRODUCT(MAX((Vérifications!$B$2:$B$1001=$A271)*Vérifications!$L$2:$L$1001))))</f>
      </c>
      <c r="F271" s="20">
        <f>IF($E271="","",IFERROR(INDEX(Vérifications!$E$2:$E$1001,MATCH($A271&amp;"|"&amp;$E271,Vérifications!$M$2:$M$1001,0)),""))</f>
      </c>
      <c r="G271" s="19">
        <f>IF($N271="","",IF(ISNUMBER($E271),EDATE($E271,$N271),IF(AND(ISNUMBER($U271),IFERROR(INDEX('Référentiel'!$E$2:$E$83,MATCH($C271,'Référentiel'!$A$2:$A$83,0)),0)&gt;0),EDATE($U271,IFERROR(INDEX('Référentiel'!$E$2:$E$83,MATCH($C271,'Référentiel'!$A$2:$A$83,0)),0)),"")))</f>
      </c>
      <c r="H271" s="21">
        <f>IF(ISNUMBER($G271),$G271-TODAY(),"")</f>
      </c>
      <c r="I271" s="20">
        <f>IF(AND($A271="",$C271=""),"",IF($T271="Non","Hors service",IF(AND($Q271="Location",ISNUMBER($R271),$R271&lt;TODAY()),"Location terminée",IF(OR($F271="Mise à l'arrêt",IF($A271="",0,SUMPRODUCT((Réserves!$B$2:$B$301=$A271)*(Réserves!$E$2:$E$301="Mise à l'arrêt")*(Réserves!$J$2:$J$301&lt;&gt;"Levée")*(Réserves!$J$2:$J$301&lt;&gt;"")))&gt;0),"Arrêt : réserve à lever",IF($C271="","Type à choisir",IF($N271="","Périodicité à saisir",IF(OR(ISTEXT($U271),ISTEXT($R271)),"Date à corriger",IF(AND($E271="",$Q271="Location",$S271&lt;&gt;"Oui"),"Rapport loueur à obtenir",IF(NOT(ISNUMBER($G271)),"Vérif. initiale à tracer",IF($H271&lt;0,"En retard",IF(AND($Q271="Location",$S271&lt;&gt;"Oui"),"Rapport loueur à obtenir",IF($H271&lt;='Tableau de bord'!$C$4,"À planifier","À jour"))))))))))))</f>
      </c>
      <c r="J271" s="22">
        <f>IF($A271="","",COUNTIFS(Réserves!$B$2:$B$301,$A271,Réserves!$J$2:$J$301,"Ouverte")+COUNTIFS(Réserves!$B$2:$B$301,$A271,Réserves!$J$2:$J$301,"En retard"))</f>
      </c>
      <c r="K271" s="20">
        <f>IF($C271="","",IFERROR(INDEX('Référentiel'!$B$2:$B$83,MATCH($C271,'Référentiel'!$A$2:$A$83,0)),"Type hors liste"))</f>
      </c>
      <c r="L271" s="22">
        <f>IF($C271="","",IF(IFERROR(INDEX('Référentiel'!$C$2:$C$83,MATCH($C271,'Référentiel'!$A$2:$A$83,0)),0)=0,"",IFERROR(INDEX('Référentiel'!$C$2:$C$83,MATCH($C271,'Référentiel'!$A$2:$A$83,0)),0)))</f>
      </c>
      <c r="M271" s="23"/>
      <c r="N271" s="22">
        <f>IF($C271="","",IF(IF($M271&lt;&gt;"",IF($L271&lt;&gt;"",MIN($L271,$M271),$M271),IF($L271&lt;&gt;"",$L271,IF(IFERROR(INDEX('Référentiel'!$D$2:$D$83,MATCH($C271,'Référentiel'!$A$2:$A$83,0)),0)&gt;0,IFERROR(INDEX('Référentiel'!$D$2:$D$83,MATCH($C271,'Référentiel'!$A$2:$A$83,0)),0),"")))="","",IF(AND(IFERROR(INDEX('Référentiel'!$F$2:$F$83,MATCH($C271,'Référentiel'!$A$2:$A$83,0)),0)&gt;0,N($J271)&gt;0),MIN(IF($M271&lt;&gt;"",IF($L271&lt;&gt;"",MIN($L271,$M271),$M271),IF($L271&lt;&gt;"",$L271,IF(IFERROR(INDEX('Référentiel'!$D$2:$D$83,MATCH($C271,'Référentiel'!$A$2:$A$83,0)),0)&gt;0,IFERROR(INDEX('Référentiel'!$D$2:$D$83,MATCH($C271,'Référentiel'!$A$2:$A$83,0)),0),""))),IFERROR(INDEX('Référentiel'!$F$2:$F$83,MATCH($C271,'Référentiel'!$A$2:$A$83,0)),0)),IF($M271&lt;&gt;"",IF($L271&lt;&gt;"",MIN($L271,$M271),$M271),IF($L271&lt;&gt;"",$L271,IF(IFERROR(INDEX('Référentiel'!$D$2:$D$83,MATCH($C271,'Référentiel'!$A$2:$A$83,0)),0)&gt;0,IFERROR(INDEX('Référentiel'!$D$2:$D$83,MATCH($C271,'Référentiel'!$A$2:$A$83,0)),0),""))))))</f>
      </c>
      <c r="O271" s="9"/>
      <c r="P271" s="23"/>
      <c r="Q271" s="9"/>
      <c r="R271" s="24"/>
      <c r="S271" s="23"/>
      <c r="T271" s="23"/>
      <c r="U271" s="24"/>
      <c r="V271" s="20">
        <f>IF($C271="","",IFERROR(INDEX('Référentiel'!$K$2:$K$83,MATCH($C271,'Référentiel'!$A$2:$A$83,0)),""))</f>
      </c>
      <c r="W271" s="20">
        <f>IF(AND(ISNUMBER($G271),$I271&lt;&gt;"Hors service",$I271&lt;&gt;"Location terminée"),$G271+ROW()/100000,"")</f>
      </c>
      <c r="X271" s="9"/>
    </row>
    <row r="272" spans="1:24" x14ac:dyDescent="0.25">
      <c r="A272" s="9"/>
      <c r="B272" s="9"/>
      <c r="C272" s="9"/>
      <c r="D272" s="9"/>
      <c r="E272" s="19">
        <f>IF($A272="","",IF(SUMPRODUCT(MAX((Vérifications!$B$2:$B$1001=$A272)*Vérifications!$L$2:$L$1001))=0,"",SUMPRODUCT(MAX((Vérifications!$B$2:$B$1001=$A272)*Vérifications!$L$2:$L$1001))))</f>
      </c>
      <c r="F272" s="20">
        <f>IF($E272="","",IFERROR(INDEX(Vérifications!$E$2:$E$1001,MATCH($A272&amp;"|"&amp;$E272,Vérifications!$M$2:$M$1001,0)),""))</f>
      </c>
      <c r="G272" s="19">
        <f>IF($N272="","",IF(ISNUMBER($E272),EDATE($E272,$N272),IF(AND(ISNUMBER($U272),IFERROR(INDEX('Référentiel'!$E$2:$E$83,MATCH($C272,'Référentiel'!$A$2:$A$83,0)),0)&gt;0),EDATE($U272,IFERROR(INDEX('Référentiel'!$E$2:$E$83,MATCH($C272,'Référentiel'!$A$2:$A$83,0)),0)),"")))</f>
      </c>
      <c r="H272" s="21">
        <f>IF(ISNUMBER($G272),$G272-TODAY(),"")</f>
      </c>
      <c r="I272" s="20">
        <f>IF(AND($A272="",$C272=""),"",IF($T272="Non","Hors service",IF(AND($Q272="Location",ISNUMBER($R272),$R272&lt;TODAY()),"Location terminée",IF(OR($F272="Mise à l'arrêt",IF($A272="",0,SUMPRODUCT((Réserves!$B$2:$B$301=$A272)*(Réserves!$E$2:$E$301="Mise à l'arrêt")*(Réserves!$J$2:$J$301&lt;&gt;"Levée")*(Réserves!$J$2:$J$301&lt;&gt;"")))&gt;0),"Arrêt : réserve à lever",IF($C272="","Type à choisir",IF($N272="","Périodicité à saisir",IF(OR(ISTEXT($U272),ISTEXT($R272)),"Date à corriger",IF(AND($E272="",$Q272="Location",$S272&lt;&gt;"Oui"),"Rapport loueur à obtenir",IF(NOT(ISNUMBER($G272)),"Vérif. initiale à tracer",IF($H272&lt;0,"En retard",IF(AND($Q272="Location",$S272&lt;&gt;"Oui"),"Rapport loueur à obtenir",IF($H272&lt;='Tableau de bord'!$C$4,"À planifier","À jour"))))))))))))</f>
      </c>
      <c r="J272" s="22">
        <f>IF($A272="","",COUNTIFS(Réserves!$B$2:$B$301,$A272,Réserves!$J$2:$J$301,"Ouverte")+COUNTIFS(Réserves!$B$2:$B$301,$A272,Réserves!$J$2:$J$301,"En retard"))</f>
      </c>
      <c r="K272" s="20">
        <f>IF($C272="","",IFERROR(INDEX('Référentiel'!$B$2:$B$83,MATCH($C272,'Référentiel'!$A$2:$A$83,0)),"Type hors liste"))</f>
      </c>
      <c r="L272" s="22">
        <f>IF($C272="","",IF(IFERROR(INDEX('Référentiel'!$C$2:$C$83,MATCH($C272,'Référentiel'!$A$2:$A$83,0)),0)=0,"",IFERROR(INDEX('Référentiel'!$C$2:$C$83,MATCH($C272,'Référentiel'!$A$2:$A$83,0)),0)))</f>
      </c>
      <c r="M272" s="23"/>
      <c r="N272" s="22">
        <f>IF($C272="","",IF(IF($M272&lt;&gt;"",IF($L272&lt;&gt;"",MIN($L272,$M272),$M272),IF($L272&lt;&gt;"",$L272,IF(IFERROR(INDEX('Référentiel'!$D$2:$D$83,MATCH($C272,'Référentiel'!$A$2:$A$83,0)),0)&gt;0,IFERROR(INDEX('Référentiel'!$D$2:$D$83,MATCH($C272,'Référentiel'!$A$2:$A$83,0)),0),"")))="","",IF(AND(IFERROR(INDEX('Référentiel'!$F$2:$F$83,MATCH($C272,'Référentiel'!$A$2:$A$83,0)),0)&gt;0,N($J272)&gt;0),MIN(IF($M272&lt;&gt;"",IF($L272&lt;&gt;"",MIN($L272,$M272),$M272),IF($L272&lt;&gt;"",$L272,IF(IFERROR(INDEX('Référentiel'!$D$2:$D$83,MATCH($C272,'Référentiel'!$A$2:$A$83,0)),0)&gt;0,IFERROR(INDEX('Référentiel'!$D$2:$D$83,MATCH($C272,'Référentiel'!$A$2:$A$83,0)),0),""))),IFERROR(INDEX('Référentiel'!$F$2:$F$83,MATCH($C272,'Référentiel'!$A$2:$A$83,0)),0)),IF($M272&lt;&gt;"",IF($L272&lt;&gt;"",MIN($L272,$M272),$M272),IF($L272&lt;&gt;"",$L272,IF(IFERROR(INDEX('Référentiel'!$D$2:$D$83,MATCH($C272,'Référentiel'!$A$2:$A$83,0)),0)&gt;0,IFERROR(INDEX('Référentiel'!$D$2:$D$83,MATCH($C272,'Référentiel'!$A$2:$A$83,0)),0),""))))))</f>
      </c>
      <c r="O272" s="9"/>
      <c r="P272" s="23"/>
      <c r="Q272" s="9"/>
      <c r="R272" s="24"/>
      <c r="S272" s="23"/>
      <c r="T272" s="23"/>
      <c r="U272" s="24"/>
      <c r="V272" s="20">
        <f>IF($C272="","",IFERROR(INDEX('Référentiel'!$K$2:$K$83,MATCH($C272,'Référentiel'!$A$2:$A$83,0)),""))</f>
      </c>
      <c r="W272" s="20">
        <f>IF(AND(ISNUMBER($G272),$I272&lt;&gt;"Hors service",$I272&lt;&gt;"Location terminée"),$G272+ROW()/100000,"")</f>
      </c>
      <c r="X272" s="9"/>
    </row>
    <row r="273" spans="1:24" x14ac:dyDescent="0.25">
      <c r="A273" s="9"/>
      <c r="B273" s="9"/>
      <c r="C273" s="9"/>
      <c r="D273" s="9"/>
      <c r="E273" s="19">
        <f>IF($A273="","",IF(SUMPRODUCT(MAX((Vérifications!$B$2:$B$1001=$A273)*Vérifications!$L$2:$L$1001))=0,"",SUMPRODUCT(MAX((Vérifications!$B$2:$B$1001=$A273)*Vérifications!$L$2:$L$1001))))</f>
      </c>
      <c r="F273" s="20">
        <f>IF($E273="","",IFERROR(INDEX(Vérifications!$E$2:$E$1001,MATCH($A273&amp;"|"&amp;$E273,Vérifications!$M$2:$M$1001,0)),""))</f>
      </c>
      <c r="G273" s="19">
        <f>IF($N273="","",IF(ISNUMBER($E273),EDATE($E273,$N273),IF(AND(ISNUMBER($U273),IFERROR(INDEX('Référentiel'!$E$2:$E$83,MATCH($C273,'Référentiel'!$A$2:$A$83,0)),0)&gt;0),EDATE($U273,IFERROR(INDEX('Référentiel'!$E$2:$E$83,MATCH($C273,'Référentiel'!$A$2:$A$83,0)),0)),"")))</f>
      </c>
      <c r="H273" s="21">
        <f>IF(ISNUMBER($G273),$G273-TODAY(),"")</f>
      </c>
      <c r="I273" s="20">
        <f>IF(AND($A273="",$C273=""),"",IF($T273="Non","Hors service",IF(AND($Q273="Location",ISNUMBER($R273),$R273&lt;TODAY()),"Location terminée",IF(OR($F273="Mise à l'arrêt",IF($A273="",0,SUMPRODUCT((Réserves!$B$2:$B$301=$A273)*(Réserves!$E$2:$E$301="Mise à l'arrêt")*(Réserves!$J$2:$J$301&lt;&gt;"Levée")*(Réserves!$J$2:$J$301&lt;&gt;"")))&gt;0),"Arrêt : réserve à lever",IF($C273="","Type à choisir",IF($N273="","Périodicité à saisir",IF(OR(ISTEXT($U273),ISTEXT($R273)),"Date à corriger",IF(AND($E273="",$Q273="Location",$S273&lt;&gt;"Oui"),"Rapport loueur à obtenir",IF(NOT(ISNUMBER($G273)),"Vérif. initiale à tracer",IF($H273&lt;0,"En retard",IF(AND($Q273="Location",$S273&lt;&gt;"Oui"),"Rapport loueur à obtenir",IF($H273&lt;='Tableau de bord'!$C$4,"À planifier","À jour"))))))))))))</f>
      </c>
      <c r="J273" s="22">
        <f>IF($A273="","",COUNTIFS(Réserves!$B$2:$B$301,$A273,Réserves!$J$2:$J$301,"Ouverte")+COUNTIFS(Réserves!$B$2:$B$301,$A273,Réserves!$J$2:$J$301,"En retard"))</f>
      </c>
      <c r="K273" s="20">
        <f>IF($C273="","",IFERROR(INDEX('Référentiel'!$B$2:$B$83,MATCH($C273,'Référentiel'!$A$2:$A$83,0)),"Type hors liste"))</f>
      </c>
      <c r="L273" s="22">
        <f>IF($C273="","",IF(IFERROR(INDEX('Référentiel'!$C$2:$C$83,MATCH($C273,'Référentiel'!$A$2:$A$83,0)),0)=0,"",IFERROR(INDEX('Référentiel'!$C$2:$C$83,MATCH($C273,'Référentiel'!$A$2:$A$83,0)),0)))</f>
      </c>
      <c r="M273" s="23"/>
      <c r="N273" s="22">
        <f>IF($C273="","",IF(IF($M273&lt;&gt;"",IF($L273&lt;&gt;"",MIN($L273,$M273),$M273),IF($L273&lt;&gt;"",$L273,IF(IFERROR(INDEX('Référentiel'!$D$2:$D$83,MATCH($C273,'Référentiel'!$A$2:$A$83,0)),0)&gt;0,IFERROR(INDEX('Référentiel'!$D$2:$D$83,MATCH($C273,'Référentiel'!$A$2:$A$83,0)),0),"")))="","",IF(AND(IFERROR(INDEX('Référentiel'!$F$2:$F$83,MATCH($C273,'Référentiel'!$A$2:$A$83,0)),0)&gt;0,N($J273)&gt;0),MIN(IF($M273&lt;&gt;"",IF($L273&lt;&gt;"",MIN($L273,$M273),$M273),IF($L273&lt;&gt;"",$L273,IF(IFERROR(INDEX('Référentiel'!$D$2:$D$83,MATCH($C273,'Référentiel'!$A$2:$A$83,0)),0)&gt;0,IFERROR(INDEX('Référentiel'!$D$2:$D$83,MATCH($C273,'Référentiel'!$A$2:$A$83,0)),0),""))),IFERROR(INDEX('Référentiel'!$F$2:$F$83,MATCH($C273,'Référentiel'!$A$2:$A$83,0)),0)),IF($M273&lt;&gt;"",IF($L273&lt;&gt;"",MIN($L273,$M273),$M273),IF($L273&lt;&gt;"",$L273,IF(IFERROR(INDEX('Référentiel'!$D$2:$D$83,MATCH($C273,'Référentiel'!$A$2:$A$83,0)),0)&gt;0,IFERROR(INDEX('Référentiel'!$D$2:$D$83,MATCH($C273,'Référentiel'!$A$2:$A$83,0)),0),""))))))</f>
      </c>
      <c r="O273" s="9"/>
      <c r="P273" s="23"/>
      <c r="Q273" s="9"/>
      <c r="R273" s="24"/>
      <c r="S273" s="23"/>
      <c r="T273" s="23"/>
      <c r="U273" s="24"/>
      <c r="V273" s="20">
        <f>IF($C273="","",IFERROR(INDEX('Référentiel'!$K$2:$K$83,MATCH($C273,'Référentiel'!$A$2:$A$83,0)),""))</f>
      </c>
      <c r="W273" s="20">
        <f>IF(AND(ISNUMBER($G273),$I273&lt;&gt;"Hors service",$I273&lt;&gt;"Location terminée"),$G273+ROW()/100000,"")</f>
      </c>
      <c r="X273" s="9"/>
    </row>
    <row r="274" spans="1:24" x14ac:dyDescent="0.25">
      <c r="A274" s="9"/>
      <c r="B274" s="9"/>
      <c r="C274" s="9"/>
      <c r="D274" s="9"/>
      <c r="E274" s="19">
        <f>IF($A274="","",IF(SUMPRODUCT(MAX((Vérifications!$B$2:$B$1001=$A274)*Vérifications!$L$2:$L$1001))=0,"",SUMPRODUCT(MAX((Vérifications!$B$2:$B$1001=$A274)*Vérifications!$L$2:$L$1001))))</f>
      </c>
      <c r="F274" s="20">
        <f>IF($E274="","",IFERROR(INDEX(Vérifications!$E$2:$E$1001,MATCH($A274&amp;"|"&amp;$E274,Vérifications!$M$2:$M$1001,0)),""))</f>
      </c>
      <c r="G274" s="19">
        <f>IF($N274="","",IF(ISNUMBER($E274),EDATE($E274,$N274),IF(AND(ISNUMBER($U274),IFERROR(INDEX('Référentiel'!$E$2:$E$83,MATCH($C274,'Référentiel'!$A$2:$A$83,0)),0)&gt;0),EDATE($U274,IFERROR(INDEX('Référentiel'!$E$2:$E$83,MATCH($C274,'Référentiel'!$A$2:$A$83,0)),0)),"")))</f>
      </c>
      <c r="H274" s="21">
        <f>IF(ISNUMBER($G274),$G274-TODAY(),"")</f>
      </c>
      <c r="I274" s="20">
        <f>IF(AND($A274="",$C274=""),"",IF($T274="Non","Hors service",IF(AND($Q274="Location",ISNUMBER($R274),$R274&lt;TODAY()),"Location terminée",IF(OR($F274="Mise à l'arrêt",IF($A274="",0,SUMPRODUCT((Réserves!$B$2:$B$301=$A274)*(Réserves!$E$2:$E$301="Mise à l'arrêt")*(Réserves!$J$2:$J$301&lt;&gt;"Levée")*(Réserves!$J$2:$J$301&lt;&gt;"")))&gt;0),"Arrêt : réserve à lever",IF($C274="","Type à choisir",IF($N274="","Périodicité à saisir",IF(OR(ISTEXT($U274),ISTEXT($R274)),"Date à corriger",IF(AND($E274="",$Q274="Location",$S274&lt;&gt;"Oui"),"Rapport loueur à obtenir",IF(NOT(ISNUMBER($G274)),"Vérif. initiale à tracer",IF($H274&lt;0,"En retard",IF(AND($Q274="Location",$S274&lt;&gt;"Oui"),"Rapport loueur à obtenir",IF($H274&lt;='Tableau de bord'!$C$4,"À planifier","À jour"))))))))))))</f>
      </c>
      <c r="J274" s="22">
        <f>IF($A274="","",COUNTIFS(Réserves!$B$2:$B$301,$A274,Réserves!$J$2:$J$301,"Ouverte")+COUNTIFS(Réserves!$B$2:$B$301,$A274,Réserves!$J$2:$J$301,"En retard"))</f>
      </c>
      <c r="K274" s="20">
        <f>IF($C274="","",IFERROR(INDEX('Référentiel'!$B$2:$B$83,MATCH($C274,'Référentiel'!$A$2:$A$83,0)),"Type hors liste"))</f>
      </c>
      <c r="L274" s="22">
        <f>IF($C274="","",IF(IFERROR(INDEX('Référentiel'!$C$2:$C$83,MATCH($C274,'Référentiel'!$A$2:$A$83,0)),0)=0,"",IFERROR(INDEX('Référentiel'!$C$2:$C$83,MATCH($C274,'Référentiel'!$A$2:$A$83,0)),0)))</f>
      </c>
      <c r="M274" s="23"/>
      <c r="N274" s="22">
        <f>IF($C274="","",IF(IF($M274&lt;&gt;"",IF($L274&lt;&gt;"",MIN($L274,$M274),$M274),IF($L274&lt;&gt;"",$L274,IF(IFERROR(INDEX('Référentiel'!$D$2:$D$83,MATCH($C274,'Référentiel'!$A$2:$A$83,0)),0)&gt;0,IFERROR(INDEX('Référentiel'!$D$2:$D$83,MATCH($C274,'Référentiel'!$A$2:$A$83,0)),0),"")))="","",IF(AND(IFERROR(INDEX('Référentiel'!$F$2:$F$83,MATCH($C274,'Référentiel'!$A$2:$A$83,0)),0)&gt;0,N($J274)&gt;0),MIN(IF($M274&lt;&gt;"",IF($L274&lt;&gt;"",MIN($L274,$M274),$M274),IF($L274&lt;&gt;"",$L274,IF(IFERROR(INDEX('Référentiel'!$D$2:$D$83,MATCH($C274,'Référentiel'!$A$2:$A$83,0)),0)&gt;0,IFERROR(INDEX('Référentiel'!$D$2:$D$83,MATCH($C274,'Référentiel'!$A$2:$A$83,0)),0),""))),IFERROR(INDEX('Référentiel'!$F$2:$F$83,MATCH($C274,'Référentiel'!$A$2:$A$83,0)),0)),IF($M274&lt;&gt;"",IF($L274&lt;&gt;"",MIN($L274,$M274),$M274),IF($L274&lt;&gt;"",$L274,IF(IFERROR(INDEX('Référentiel'!$D$2:$D$83,MATCH($C274,'Référentiel'!$A$2:$A$83,0)),0)&gt;0,IFERROR(INDEX('Référentiel'!$D$2:$D$83,MATCH($C274,'Référentiel'!$A$2:$A$83,0)),0),""))))))</f>
      </c>
      <c r="O274" s="9"/>
      <c r="P274" s="23"/>
      <c r="Q274" s="9"/>
      <c r="R274" s="24"/>
      <c r="S274" s="23"/>
      <c r="T274" s="23"/>
      <c r="U274" s="24"/>
      <c r="V274" s="20">
        <f>IF($C274="","",IFERROR(INDEX('Référentiel'!$K$2:$K$83,MATCH($C274,'Référentiel'!$A$2:$A$83,0)),""))</f>
      </c>
      <c r="W274" s="20">
        <f>IF(AND(ISNUMBER($G274),$I274&lt;&gt;"Hors service",$I274&lt;&gt;"Location terminée"),$G274+ROW()/100000,"")</f>
      </c>
      <c r="X274" s="9"/>
    </row>
    <row r="275" spans="1:24" x14ac:dyDescent="0.25">
      <c r="A275" s="9"/>
      <c r="B275" s="9"/>
      <c r="C275" s="9"/>
      <c r="D275" s="9"/>
      <c r="E275" s="19">
        <f>IF($A275="","",IF(SUMPRODUCT(MAX((Vérifications!$B$2:$B$1001=$A275)*Vérifications!$L$2:$L$1001))=0,"",SUMPRODUCT(MAX((Vérifications!$B$2:$B$1001=$A275)*Vérifications!$L$2:$L$1001))))</f>
      </c>
      <c r="F275" s="20">
        <f>IF($E275="","",IFERROR(INDEX(Vérifications!$E$2:$E$1001,MATCH($A275&amp;"|"&amp;$E275,Vérifications!$M$2:$M$1001,0)),""))</f>
      </c>
      <c r="G275" s="19">
        <f>IF($N275="","",IF(ISNUMBER($E275),EDATE($E275,$N275),IF(AND(ISNUMBER($U275),IFERROR(INDEX('Référentiel'!$E$2:$E$83,MATCH($C275,'Référentiel'!$A$2:$A$83,0)),0)&gt;0),EDATE($U275,IFERROR(INDEX('Référentiel'!$E$2:$E$83,MATCH($C275,'Référentiel'!$A$2:$A$83,0)),0)),"")))</f>
      </c>
      <c r="H275" s="21">
        <f>IF(ISNUMBER($G275),$G275-TODAY(),"")</f>
      </c>
      <c r="I275" s="20">
        <f>IF(AND($A275="",$C275=""),"",IF($T275="Non","Hors service",IF(AND($Q275="Location",ISNUMBER($R275),$R275&lt;TODAY()),"Location terminée",IF(OR($F275="Mise à l'arrêt",IF($A275="",0,SUMPRODUCT((Réserves!$B$2:$B$301=$A275)*(Réserves!$E$2:$E$301="Mise à l'arrêt")*(Réserves!$J$2:$J$301&lt;&gt;"Levée")*(Réserves!$J$2:$J$301&lt;&gt;"")))&gt;0),"Arrêt : réserve à lever",IF($C275="","Type à choisir",IF($N275="","Périodicité à saisir",IF(OR(ISTEXT($U275),ISTEXT($R275)),"Date à corriger",IF(AND($E275="",$Q275="Location",$S275&lt;&gt;"Oui"),"Rapport loueur à obtenir",IF(NOT(ISNUMBER($G275)),"Vérif. initiale à tracer",IF($H275&lt;0,"En retard",IF(AND($Q275="Location",$S275&lt;&gt;"Oui"),"Rapport loueur à obtenir",IF($H275&lt;='Tableau de bord'!$C$4,"À planifier","À jour"))))))))))))</f>
      </c>
      <c r="J275" s="22">
        <f>IF($A275="","",COUNTIFS(Réserves!$B$2:$B$301,$A275,Réserves!$J$2:$J$301,"Ouverte")+COUNTIFS(Réserves!$B$2:$B$301,$A275,Réserves!$J$2:$J$301,"En retard"))</f>
      </c>
      <c r="K275" s="20">
        <f>IF($C275="","",IFERROR(INDEX('Référentiel'!$B$2:$B$83,MATCH($C275,'Référentiel'!$A$2:$A$83,0)),"Type hors liste"))</f>
      </c>
      <c r="L275" s="22">
        <f>IF($C275="","",IF(IFERROR(INDEX('Référentiel'!$C$2:$C$83,MATCH($C275,'Référentiel'!$A$2:$A$83,0)),0)=0,"",IFERROR(INDEX('Référentiel'!$C$2:$C$83,MATCH($C275,'Référentiel'!$A$2:$A$83,0)),0)))</f>
      </c>
      <c r="M275" s="23"/>
      <c r="N275" s="22">
        <f>IF($C275="","",IF(IF($M275&lt;&gt;"",IF($L275&lt;&gt;"",MIN($L275,$M275),$M275),IF($L275&lt;&gt;"",$L275,IF(IFERROR(INDEX('Référentiel'!$D$2:$D$83,MATCH($C275,'Référentiel'!$A$2:$A$83,0)),0)&gt;0,IFERROR(INDEX('Référentiel'!$D$2:$D$83,MATCH($C275,'Référentiel'!$A$2:$A$83,0)),0),"")))="","",IF(AND(IFERROR(INDEX('Référentiel'!$F$2:$F$83,MATCH($C275,'Référentiel'!$A$2:$A$83,0)),0)&gt;0,N($J275)&gt;0),MIN(IF($M275&lt;&gt;"",IF($L275&lt;&gt;"",MIN($L275,$M275),$M275),IF($L275&lt;&gt;"",$L275,IF(IFERROR(INDEX('Référentiel'!$D$2:$D$83,MATCH($C275,'Référentiel'!$A$2:$A$83,0)),0)&gt;0,IFERROR(INDEX('Référentiel'!$D$2:$D$83,MATCH($C275,'Référentiel'!$A$2:$A$83,0)),0),""))),IFERROR(INDEX('Référentiel'!$F$2:$F$83,MATCH($C275,'Référentiel'!$A$2:$A$83,0)),0)),IF($M275&lt;&gt;"",IF($L275&lt;&gt;"",MIN($L275,$M275),$M275),IF($L275&lt;&gt;"",$L275,IF(IFERROR(INDEX('Référentiel'!$D$2:$D$83,MATCH($C275,'Référentiel'!$A$2:$A$83,0)),0)&gt;0,IFERROR(INDEX('Référentiel'!$D$2:$D$83,MATCH($C275,'Référentiel'!$A$2:$A$83,0)),0),""))))))</f>
      </c>
      <c r="O275" s="9"/>
      <c r="P275" s="23"/>
      <c r="Q275" s="9"/>
      <c r="R275" s="24"/>
      <c r="S275" s="23"/>
      <c r="T275" s="23"/>
      <c r="U275" s="24"/>
      <c r="V275" s="20">
        <f>IF($C275="","",IFERROR(INDEX('Référentiel'!$K$2:$K$83,MATCH($C275,'Référentiel'!$A$2:$A$83,0)),""))</f>
      </c>
      <c r="W275" s="20">
        <f>IF(AND(ISNUMBER($G275),$I275&lt;&gt;"Hors service",$I275&lt;&gt;"Location terminée"),$G275+ROW()/100000,"")</f>
      </c>
      <c r="X275" s="9"/>
    </row>
    <row r="276" spans="1:24" x14ac:dyDescent="0.25">
      <c r="A276" s="9"/>
      <c r="B276" s="9"/>
      <c r="C276" s="9"/>
      <c r="D276" s="9"/>
      <c r="E276" s="19">
        <f>IF($A276="","",IF(SUMPRODUCT(MAX((Vérifications!$B$2:$B$1001=$A276)*Vérifications!$L$2:$L$1001))=0,"",SUMPRODUCT(MAX((Vérifications!$B$2:$B$1001=$A276)*Vérifications!$L$2:$L$1001))))</f>
      </c>
      <c r="F276" s="20">
        <f>IF($E276="","",IFERROR(INDEX(Vérifications!$E$2:$E$1001,MATCH($A276&amp;"|"&amp;$E276,Vérifications!$M$2:$M$1001,0)),""))</f>
      </c>
      <c r="G276" s="19">
        <f>IF($N276="","",IF(ISNUMBER($E276),EDATE($E276,$N276),IF(AND(ISNUMBER($U276),IFERROR(INDEX('Référentiel'!$E$2:$E$83,MATCH($C276,'Référentiel'!$A$2:$A$83,0)),0)&gt;0),EDATE($U276,IFERROR(INDEX('Référentiel'!$E$2:$E$83,MATCH($C276,'Référentiel'!$A$2:$A$83,0)),0)),"")))</f>
      </c>
      <c r="H276" s="21">
        <f>IF(ISNUMBER($G276),$G276-TODAY(),"")</f>
      </c>
      <c r="I276" s="20">
        <f>IF(AND($A276="",$C276=""),"",IF($T276="Non","Hors service",IF(AND($Q276="Location",ISNUMBER($R276),$R276&lt;TODAY()),"Location terminée",IF(OR($F276="Mise à l'arrêt",IF($A276="",0,SUMPRODUCT((Réserves!$B$2:$B$301=$A276)*(Réserves!$E$2:$E$301="Mise à l'arrêt")*(Réserves!$J$2:$J$301&lt;&gt;"Levée")*(Réserves!$J$2:$J$301&lt;&gt;"")))&gt;0),"Arrêt : réserve à lever",IF($C276="","Type à choisir",IF($N276="","Périodicité à saisir",IF(OR(ISTEXT($U276),ISTEXT($R276)),"Date à corriger",IF(AND($E276="",$Q276="Location",$S276&lt;&gt;"Oui"),"Rapport loueur à obtenir",IF(NOT(ISNUMBER($G276)),"Vérif. initiale à tracer",IF($H276&lt;0,"En retard",IF(AND($Q276="Location",$S276&lt;&gt;"Oui"),"Rapport loueur à obtenir",IF($H276&lt;='Tableau de bord'!$C$4,"À planifier","À jour"))))))))))))</f>
      </c>
      <c r="J276" s="22">
        <f>IF($A276="","",COUNTIFS(Réserves!$B$2:$B$301,$A276,Réserves!$J$2:$J$301,"Ouverte")+COUNTIFS(Réserves!$B$2:$B$301,$A276,Réserves!$J$2:$J$301,"En retard"))</f>
      </c>
      <c r="K276" s="20">
        <f>IF($C276="","",IFERROR(INDEX('Référentiel'!$B$2:$B$83,MATCH($C276,'Référentiel'!$A$2:$A$83,0)),"Type hors liste"))</f>
      </c>
      <c r="L276" s="22">
        <f>IF($C276="","",IF(IFERROR(INDEX('Référentiel'!$C$2:$C$83,MATCH($C276,'Référentiel'!$A$2:$A$83,0)),0)=0,"",IFERROR(INDEX('Référentiel'!$C$2:$C$83,MATCH($C276,'Référentiel'!$A$2:$A$83,0)),0)))</f>
      </c>
      <c r="M276" s="23"/>
      <c r="N276" s="22">
        <f>IF($C276="","",IF(IF($M276&lt;&gt;"",IF($L276&lt;&gt;"",MIN($L276,$M276),$M276),IF($L276&lt;&gt;"",$L276,IF(IFERROR(INDEX('Référentiel'!$D$2:$D$83,MATCH($C276,'Référentiel'!$A$2:$A$83,0)),0)&gt;0,IFERROR(INDEX('Référentiel'!$D$2:$D$83,MATCH($C276,'Référentiel'!$A$2:$A$83,0)),0),"")))="","",IF(AND(IFERROR(INDEX('Référentiel'!$F$2:$F$83,MATCH($C276,'Référentiel'!$A$2:$A$83,0)),0)&gt;0,N($J276)&gt;0),MIN(IF($M276&lt;&gt;"",IF($L276&lt;&gt;"",MIN($L276,$M276),$M276),IF($L276&lt;&gt;"",$L276,IF(IFERROR(INDEX('Référentiel'!$D$2:$D$83,MATCH($C276,'Référentiel'!$A$2:$A$83,0)),0)&gt;0,IFERROR(INDEX('Référentiel'!$D$2:$D$83,MATCH($C276,'Référentiel'!$A$2:$A$83,0)),0),""))),IFERROR(INDEX('Référentiel'!$F$2:$F$83,MATCH($C276,'Référentiel'!$A$2:$A$83,0)),0)),IF($M276&lt;&gt;"",IF($L276&lt;&gt;"",MIN($L276,$M276),$M276),IF($L276&lt;&gt;"",$L276,IF(IFERROR(INDEX('Référentiel'!$D$2:$D$83,MATCH($C276,'Référentiel'!$A$2:$A$83,0)),0)&gt;0,IFERROR(INDEX('Référentiel'!$D$2:$D$83,MATCH($C276,'Référentiel'!$A$2:$A$83,0)),0),""))))))</f>
      </c>
      <c r="O276" s="9"/>
      <c r="P276" s="23"/>
      <c r="Q276" s="9"/>
      <c r="R276" s="24"/>
      <c r="S276" s="23"/>
      <c r="T276" s="23"/>
      <c r="U276" s="24"/>
      <c r="V276" s="20">
        <f>IF($C276="","",IFERROR(INDEX('Référentiel'!$K$2:$K$83,MATCH($C276,'Référentiel'!$A$2:$A$83,0)),""))</f>
      </c>
      <c r="W276" s="20">
        <f>IF(AND(ISNUMBER($G276),$I276&lt;&gt;"Hors service",$I276&lt;&gt;"Location terminée"),$G276+ROW()/100000,"")</f>
      </c>
      <c r="X276" s="9"/>
    </row>
    <row r="277" spans="1:24" x14ac:dyDescent="0.25">
      <c r="A277" s="9"/>
      <c r="B277" s="9"/>
      <c r="C277" s="9"/>
      <c r="D277" s="9"/>
      <c r="E277" s="19">
        <f>IF($A277="","",IF(SUMPRODUCT(MAX((Vérifications!$B$2:$B$1001=$A277)*Vérifications!$L$2:$L$1001))=0,"",SUMPRODUCT(MAX((Vérifications!$B$2:$B$1001=$A277)*Vérifications!$L$2:$L$1001))))</f>
      </c>
      <c r="F277" s="20">
        <f>IF($E277="","",IFERROR(INDEX(Vérifications!$E$2:$E$1001,MATCH($A277&amp;"|"&amp;$E277,Vérifications!$M$2:$M$1001,0)),""))</f>
      </c>
      <c r="G277" s="19">
        <f>IF($N277="","",IF(ISNUMBER($E277),EDATE($E277,$N277),IF(AND(ISNUMBER($U277),IFERROR(INDEX('Référentiel'!$E$2:$E$83,MATCH($C277,'Référentiel'!$A$2:$A$83,0)),0)&gt;0),EDATE($U277,IFERROR(INDEX('Référentiel'!$E$2:$E$83,MATCH($C277,'Référentiel'!$A$2:$A$83,0)),0)),"")))</f>
      </c>
      <c r="H277" s="21">
        <f>IF(ISNUMBER($G277),$G277-TODAY(),"")</f>
      </c>
      <c r="I277" s="20">
        <f>IF(AND($A277="",$C277=""),"",IF($T277="Non","Hors service",IF(AND($Q277="Location",ISNUMBER($R277),$R277&lt;TODAY()),"Location terminée",IF(OR($F277="Mise à l'arrêt",IF($A277="",0,SUMPRODUCT((Réserves!$B$2:$B$301=$A277)*(Réserves!$E$2:$E$301="Mise à l'arrêt")*(Réserves!$J$2:$J$301&lt;&gt;"Levée")*(Réserves!$J$2:$J$301&lt;&gt;"")))&gt;0),"Arrêt : réserve à lever",IF($C277="","Type à choisir",IF($N277="","Périodicité à saisir",IF(OR(ISTEXT($U277),ISTEXT($R277)),"Date à corriger",IF(AND($E277="",$Q277="Location",$S277&lt;&gt;"Oui"),"Rapport loueur à obtenir",IF(NOT(ISNUMBER($G277)),"Vérif. initiale à tracer",IF($H277&lt;0,"En retard",IF(AND($Q277="Location",$S277&lt;&gt;"Oui"),"Rapport loueur à obtenir",IF($H277&lt;='Tableau de bord'!$C$4,"À planifier","À jour"))))))))))))</f>
      </c>
      <c r="J277" s="22">
        <f>IF($A277="","",COUNTIFS(Réserves!$B$2:$B$301,$A277,Réserves!$J$2:$J$301,"Ouverte")+COUNTIFS(Réserves!$B$2:$B$301,$A277,Réserves!$J$2:$J$301,"En retard"))</f>
      </c>
      <c r="K277" s="20">
        <f>IF($C277="","",IFERROR(INDEX('Référentiel'!$B$2:$B$83,MATCH($C277,'Référentiel'!$A$2:$A$83,0)),"Type hors liste"))</f>
      </c>
      <c r="L277" s="22">
        <f>IF($C277="","",IF(IFERROR(INDEX('Référentiel'!$C$2:$C$83,MATCH($C277,'Référentiel'!$A$2:$A$83,0)),0)=0,"",IFERROR(INDEX('Référentiel'!$C$2:$C$83,MATCH($C277,'Référentiel'!$A$2:$A$83,0)),0)))</f>
      </c>
      <c r="M277" s="23"/>
      <c r="N277" s="22">
        <f>IF($C277="","",IF(IF($M277&lt;&gt;"",IF($L277&lt;&gt;"",MIN($L277,$M277),$M277),IF($L277&lt;&gt;"",$L277,IF(IFERROR(INDEX('Référentiel'!$D$2:$D$83,MATCH($C277,'Référentiel'!$A$2:$A$83,0)),0)&gt;0,IFERROR(INDEX('Référentiel'!$D$2:$D$83,MATCH($C277,'Référentiel'!$A$2:$A$83,0)),0),"")))="","",IF(AND(IFERROR(INDEX('Référentiel'!$F$2:$F$83,MATCH($C277,'Référentiel'!$A$2:$A$83,0)),0)&gt;0,N($J277)&gt;0),MIN(IF($M277&lt;&gt;"",IF($L277&lt;&gt;"",MIN($L277,$M277),$M277),IF($L277&lt;&gt;"",$L277,IF(IFERROR(INDEX('Référentiel'!$D$2:$D$83,MATCH($C277,'Référentiel'!$A$2:$A$83,0)),0)&gt;0,IFERROR(INDEX('Référentiel'!$D$2:$D$83,MATCH($C277,'Référentiel'!$A$2:$A$83,0)),0),""))),IFERROR(INDEX('Référentiel'!$F$2:$F$83,MATCH($C277,'Référentiel'!$A$2:$A$83,0)),0)),IF($M277&lt;&gt;"",IF($L277&lt;&gt;"",MIN($L277,$M277),$M277),IF($L277&lt;&gt;"",$L277,IF(IFERROR(INDEX('Référentiel'!$D$2:$D$83,MATCH($C277,'Référentiel'!$A$2:$A$83,0)),0)&gt;0,IFERROR(INDEX('Référentiel'!$D$2:$D$83,MATCH($C277,'Référentiel'!$A$2:$A$83,0)),0),""))))))</f>
      </c>
      <c r="O277" s="9"/>
      <c r="P277" s="23"/>
      <c r="Q277" s="9"/>
      <c r="R277" s="24"/>
      <c r="S277" s="23"/>
      <c r="T277" s="23"/>
      <c r="U277" s="24"/>
      <c r="V277" s="20">
        <f>IF($C277="","",IFERROR(INDEX('Référentiel'!$K$2:$K$83,MATCH($C277,'Référentiel'!$A$2:$A$83,0)),""))</f>
      </c>
      <c r="W277" s="20">
        <f>IF(AND(ISNUMBER($G277),$I277&lt;&gt;"Hors service",$I277&lt;&gt;"Location terminée"),$G277+ROW()/100000,"")</f>
      </c>
      <c r="X277" s="9"/>
    </row>
    <row r="278" spans="1:24" x14ac:dyDescent="0.25">
      <c r="A278" s="9"/>
      <c r="B278" s="9"/>
      <c r="C278" s="9"/>
      <c r="D278" s="9"/>
      <c r="E278" s="19">
        <f>IF($A278="","",IF(SUMPRODUCT(MAX((Vérifications!$B$2:$B$1001=$A278)*Vérifications!$L$2:$L$1001))=0,"",SUMPRODUCT(MAX((Vérifications!$B$2:$B$1001=$A278)*Vérifications!$L$2:$L$1001))))</f>
      </c>
      <c r="F278" s="20">
        <f>IF($E278="","",IFERROR(INDEX(Vérifications!$E$2:$E$1001,MATCH($A278&amp;"|"&amp;$E278,Vérifications!$M$2:$M$1001,0)),""))</f>
      </c>
      <c r="G278" s="19">
        <f>IF($N278="","",IF(ISNUMBER($E278),EDATE($E278,$N278),IF(AND(ISNUMBER($U278),IFERROR(INDEX('Référentiel'!$E$2:$E$83,MATCH($C278,'Référentiel'!$A$2:$A$83,0)),0)&gt;0),EDATE($U278,IFERROR(INDEX('Référentiel'!$E$2:$E$83,MATCH($C278,'Référentiel'!$A$2:$A$83,0)),0)),"")))</f>
      </c>
      <c r="H278" s="21">
        <f>IF(ISNUMBER($G278),$G278-TODAY(),"")</f>
      </c>
      <c r="I278" s="20">
        <f>IF(AND($A278="",$C278=""),"",IF($T278="Non","Hors service",IF(AND($Q278="Location",ISNUMBER($R278),$R278&lt;TODAY()),"Location terminée",IF(OR($F278="Mise à l'arrêt",IF($A278="",0,SUMPRODUCT((Réserves!$B$2:$B$301=$A278)*(Réserves!$E$2:$E$301="Mise à l'arrêt")*(Réserves!$J$2:$J$301&lt;&gt;"Levée")*(Réserves!$J$2:$J$301&lt;&gt;"")))&gt;0),"Arrêt : réserve à lever",IF($C278="","Type à choisir",IF($N278="","Périodicité à saisir",IF(OR(ISTEXT($U278),ISTEXT($R278)),"Date à corriger",IF(AND($E278="",$Q278="Location",$S278&lt;&gt;"Oui"),"Rapport loueur à obtenir",IF(NOT(ISNUMBER($G278)),"Vérif. initiale à tracer",IF($H278&lt;0,"En retard",IF(AND($Q278="Location",$S278&lt;&gt;"Oui"),"Rapport loueur à obtenir",IF($H278&lt;='Tableau de bord'!$C$4,"À planifier","À jour"))))))))))))</f>
      </c>
      <c r="J278" s="22">
        <f>IF($A278="","",COUNTIFS(Réserves!$B$2:$B$301,$A278,Réserves!$J$2:$J$301,"Ouverte")+COUNTIFS(Réserves!$B$2:$B$301,$A278,Réserves!$J$2:$J$301,"En retard"))</f>
      </c>
      <c r="K278" s="20">
        <f>IF($C278="","",IFERROR(INDEX('Référentiel'!$B$2:$B$83,MATCH($C278,'Référentiel'!$A$2:$A$83,0)),"Type hors liste"))</f>
      </c>
      <c r="L278" s="22">
        <f>IF($C278="","",IF(IFERROR(INDEX('Référentiel'!$C$2:$C$83,MATCH($C278,'Référentiel'!$A$2:$A$83,0)),0)=0,"",IFERROR(INDEX('Référentiel'!$C$2:$C$83,MATCH($C278,'Référentiel'!$A$2:$A$83,0)),0)))</f>
      </c>
      <c r="M278" s="23"/>
      <c r="N278" s="22">
        <f>IF($C278="","",IF(IF($M278&lt;&gt;"",IF($L278&lt;&gt;"",MIN($L278,$M278),$M278),IF($L278&lt;&gt;"",$L278,IF(IFERROR(INDEX('Référentiel'!$D$2:$D$83,MATCH($C278,'Référentiel'!$A$2:$A$83,0)),0)&gt;0,IFERROR(INDEX('Référentiel'!$D$2:$D$83,MATCH($C278,'Référentiel'!$A$2:$A$83,0)),0),"")))="","",IF(AND(IFERROR(INDEX('Référentiel'!$F$2:$F$83,MATCH($C278,'Référentiel'!$A$2:$A$83,0)),0)&gt;0,N($J278)&gt;0),MIN(IF($M278&lt;&gt;"",IF($L278&lt;&gt;"",MIN($L278,$M278),$M278),IF($L278&lt;&gt;"",$L278,IF(IFERROR(INDEX('Référentiel'!$D$2:$D$83,MATCH($C278,'Référentiel'!$A$2:$A$83,0)),0)&gt;0,IFERROR(INDEX('Référentiel'!$D$2:$D$83,MATCH($C278,'Référentiel'!$A$2:$A$83,0)),0),""))),IFERROR(INDEX('Référentiel'!$F$2:$F$83,MATCH($C278,'Référentiel'!$A$2:$A$83,0)),0)),IF($M278&lt;&gt;"",IF($L278&lt;&gt;"",MIN($L278,$M278),$M278),IF($L278&lt;&gt;"",$L278,IF(IFERROR(INDEX('Référentiel'!$D$2:$D$83,MATCH($C278,'Référentiel'!$A$2:$A$83,0)),0)&gt;0,IFERROR(INDEX('Référentiel'!$D$2:$D$83,MATCH($C278,'Référentiel'!$A$2:$A$83,0)),0),""))))))</f>
      </c>
      <c r="O278" s="9"/>
      <c r="P278" s="23"/>
      <c r="Q278" s="9"/>
      <c r="R278" s="24"/>
      <c r="S278" s="23"/>
      <c r="T278" s="23"/>
      <c r="U278" s="24"/>
      <c r="V278" s="20">
        <f>IF($C278="","",IFERROR(INDEX('Référentiel'!$K$2:$K$83,MATCH($C278,'Référentiel'!$A$2:$A$83,0)),""))</f>
      </c>
      <c r="W278" s="20">
        <f>IF(AND(ISNUMBER($G278),$I278&lt;&gt;"Hors service",$I278&lt;&gt;"Location terminée"),$G278+ROW()/100000,"")</f>
      </c>
      <c r="X278" s="9"/>
    </row>
    <row r="279" spans="1:24" x14ac:dyDescent="0.25">
      <c r="A279" s="9"/>
      <c r="B279" s="9"/>
      <c r="C279" s="9"/>
      <c r="D279" s="9"/>
      <c r="E279" s="19">
        <f>IF($A279="","",IF(SUMPRODUCT(MAX((Vérifications!$B$2:$B$1001=$A279)*Vérifications!$L$2:$L$1001))=0,"",SUMPRODUCT(MAX((Vérifications!$B$2:$B$1001=$A279)*Vérifications!$L$2:$L$1001))))</f>
      </c>
      <c r="F279" s="20">
        <f>IF($E279="","",IFERROR(INDEX(Vérifications!$E$2:$E$1001,MATCH($A279&amp;"|"&amp;$E279,Vérifications!$M$2:$M$1001,0)),""))</f>
      </c>
      <c r="G279" s="19">
        <f>IF($N279="","",IF(ISNUMBER($E279),EDATE($E279,$N279),IF(AND(ISNUMBER($U279),IFERROR(INDEX('Référentiel'!$E$2:$E$83,MATCH($C279,'Référentiel'!$A$2:$A$83,0)),0)&gt;0),EDATE($U279,IFERROR(INDEX('Référentiel'!$E$2:$E$83,MATCH($C279,'Référentiel'!$A$2:$A$83,0)),0)),"")))</f>
      </c>
      <c r="H279" s="21">
        <f>IF(ISNUMBER($G279),$G279-TODAY(),"")</f>
      </c>
      <c r="I279" s="20">
        <f>IF(AND($A279="",$C279=""),"",IF($T279="Non","Hors service",IF(AND($Q279="Location",ISNUMBER($R279),$R279&lt;TODAY()),"Location terminée",IF(OR($F279="Mise à l'arrêt",IF($A279="",0,SUMPRODUCT((Réserves!$B$2:$B$301=$A279)*(Réserves!$E$2:$E$301="Mise à l'arrêt")*(Réserves!$J$2:$J$301&lt;&gt;"Levée")*(Réserves!$J$2:$J$301&lt;&gt;"")))&gt;0),"Arrêt : réserve à lever",IF($C279="","Type à choisir",IF($N279="","Périodicité à saisir",IF(OR(ISTEXT($U279),ISTEXT($R279)),"Date à corriger",IF(AND($E279="",$Q279="Location",$S279&lt;&gt;"Oui"),"Rapport loueur à obtenir",IF(NOT(ISNUMBER($G279)),"Vérif. initiale à tracer",IF($H279&lt;0,"En retard",IF(AND($Q279="Location",$S279&lt;&gt;"Oui"),"Rapport loueur à obtenir",IF($H279&lt;='Tableau de bord'!$C$4,"À planifier","À jour"))))))))))))</f>
      </c>
      <c r="J279" s="22">
        <f>IF($A279="","",COUNTIFS(Réserves!$B$2:$B$301,$A279,Réserves!$J$2:$J$301,"Ouverte")+COUNTIFS(Réserves!$B$2:$B$301,$A279,Réserves!$J$2:$J$301,"En retard"))</f>
      </c>
      <c r="K279" s="20">
        <f>IF($C279="","",IFERROR(INDEX('Référentiel'!$B$2:$B$83,MATCH($C279,'Référentiel'!$A$2:$A$83,0)),"Type hors liste"))</f>
      </c>
      <c r="L279" s="22">
        <f>IF($C279="","",IF(IFERROR(INDEX('Référentiel'!$C$2:$C$83,MATCH($C279,'Référentiel'!$A$2:$A$83,0)),0)=0,"",IFERROR(INDEX('Référentiel'!$C$2:$C$83,MATCH($C279,'Référentiel'!$A$2:$A$83,0)),0)))</f>
      </c>
      <c r="M279" s="23"/>
      <c r="N279" s="22">
        <f>IF($C279="","",IF(IF($M279&lt;&gt;"",IF($L279&lt;&gt;"",MIN($L279,$M279),$M279),IF($L279&lt;&gt;"",$L279,IF(IFERROR(INDEX('Référentiel'!$D$2:$D$83,MATCH($C279,'Référentiel'!$A$2:$A$83,0)),0)&gt;0,IFERROR(INDEX('Référentiel'!$D$2:$D$83,MATCH($C279,'Référentiel'!$A$2:$A$83,0)),0),"")))="","",IF(AND(IFERROR(INDEX('Référentiel'!$F$2:$F$83,MATCH($C279,'Référentiel'!$A$2:$A$83,0)),0)&gt;0,N($J279)&gt;0),MIN(IF($M279&lt;&gt;"",IF($L279&lt;&gt;"",MIN($L279,$M279),$M279),IF($L279&lt;&gt;"",$L279,IF(IFERROR(INDEX('Référentiel'!$D$2:$D$83,MATCH($C279,'Référentiel'!$A$2:$A$83,0)),0)&gt;0,IFERROR(INDEX('Référentiel'!$D$2:$D$83,MATCH($C279,'Référentiel'!$A$2:$A$83,0)),0),""))),IFERROR(INDEX('Référentiel'!$F$2:$F$83,MATCH($C279,'Référentiel'!$A$2:$A$83,0)),0)),IF($M279&lt;&gt;"",IF($L279&lt;&gt;"",MIN($L279,$M279),$M279),IF($L279&lt;&gt;"",$L279,IF(IFERROR(INDEX('Référentiel'!$D$2:$D$83,MATCH($C279,'Référentiel'!$A$2:$A$83,0)),0)&gt;0,IFERROR(INDEX('Référentiel'!$D$2:$D$83,MATCH($C279,'Référentiel'!$A$2:$A$83,0)),0),""))))))</f>
      </c>
      <c r="O279" s="9"/>
      <c r="P279" s="23"/>
      <c r="Q279" s="9"/>
      <c r="R279" s="24"/>
      <c r="S279" s="23"/>
      <c r="T279" s="23"/>
      <c r="U279" s="24"/>
      <c r="V279" s="20">
        <f>IF($C279="","",IFERROR(INDEX('Référentiel'!$K$2:$K$83,MATCH($C279,'Référentiel'!$A$2:$A$83,0)),""))</f>
      </c>
      <c r="W279" s="20">
        <f>IF(AND(ISNUMBER($G279),$I279&lt;&gt;"Hors service",$I279&lt;&gt;"Location terminée"),$G279+ROW()/100000,"")</f>
      </c>
      <c r="X279" s="9"/>
    </row>
    <row r="280" spans="1:24" x14ac:dyDescent="0.25">
      <c r="A280" s="9"/>
      <c r="B280" s="9"/>
      <c r="C280" s="9"/>
      <c r="D280" s="9"/>
      <c r="E280" s="19">
        <f>IF($A280="","",IF(SUMPRODUCT(MAX((Vérifications!$B$2:$B$1001=$A280)*Vérifications!$L$2:$L$1001))=0,"",SUMPRODUCT(MAX((Vérifications!$B$2:$B$1001=$A280)*Vérifications!$L$2:$L$1001))))</f>
      </c>
      <c r="F280" s="20">
        <f>IF($E280="","",IFERROR(INDEX(Vérifications!$E$2:$E$1001,MATCH($A280&amp;"|"&amp;$E280,Vérifications!$M$2:$M$1001,0)),""))</f>
      </c>
      <c r="G280" s="19">
        <f>IF($N280="","",IF(ISNUMBER($E280),EDATE($E280,$N280),IF(AND(ISNUMBER($U280),IFERROR(INDEX('Référentiel'!$E$2:$E$83,MATCH($C280,'Référentiel'!$A$2:$A$83,0)),0)&gt;0),EDATE($U280,IFERROR(INDEX('Référentiel'!$E$2:$E$83,MATCH($C280,'Référentiel'!$A$2:$A$83,0)),0)),"")))</f>
      </c>
      <c r="H280" s="21">
        <f>IF(ISNUMBER($G280),$G280-TODAY(),"")</f>
      </c>
      <c r="I280" s="20">
        <f>IF(AND($A280="",$C280=""),"",IF($T280="Non","Hors service",IF(AND($Q280="Location",ISNUMBER($R280),$R280&lt;TODAY()),"Location terminée",IF(OR($F280="Mise à l'arrêt",IF($A280="",0,SUMPRODUCT((Réserves!$B$2:$B$301=$A280)*(Réserves!$E$2:$E$301="Mise à l'arrêt")*(Réserves!$J$2:$J$301&lt;&gt;"Levée")*(Réserves!$J$2:$J$301&lt;&gt;"")))&gt;0),"Arrêt : réserve à lever",IF($C280="","Type à choisir",IF($N280="","Périodicité à saisir",IF(OR(ISTEXT($U280),ISTEXT($R280)),"Date à corriger",IF(AND($E280="",$Q280="Location",$S280&lt;&gt;"Oui"),"Rapport loueur à obtenir",IF(NOT(ISNUMBER($G280)),"Vérif. initiale à tracer",IF($H280&lt;0,"En retard",IF(AND($Q280="Location",$S280&lt;&gt;"Oui"),"Rapport loueur à obtenir",IF($H280&lt;='Tableau de bord'!$C$4,"À planifier","À jour"))))))))))))</f>
      </c>
      <c r="J280" s="22">
        <f>IF($A280="","",COUNTIFS(Réserves!$B$2:$B$301,$A280,Réserves!$J$2:$J$301,"Ouverte")+COUNTIFS(Réserves!$B$2:$B$301,$A280,Réserves!$J$2:$J$301,"En retard"))</f>
      </c>
      <c r="K280" s="20">
        <f>IF($C280="","",IFERROR(INDEX('Référentiel'!$B$2:$B$83,MATCH($C280,'Référentiel'!$A$2:$A$83,0)),"Type hors liste"))</f>
      </c>
      <c r="L280" s="22">
        <f>IF($C280="","",IF(IFERROR(INDEX('Référentiel'!$C$2:$C$83,MATCH($C280,'Référentiel'!$A$2:$A$83,0)),0)=0,"",IFERROR(INDEX('Référentiel'!$C$2:$C$83,MATCH($C280,'Référentiel'!$A$2:$A$83,0)),0)))</f>
      </c>
      <c r="M280" s="23"/>
      <c r="N280" s="22">
        <f>IF($C280="","",IF(IF($M280&lt;&gt;"",IF($L280&lt;&gt;"",MIN($L280,$M280),$M280),IF($L280&lt;&gt;"",$L280,IF(IFERROR(INDEX('Référentiel'!$D$2:$D$83,MATCH($C280,'Référentiel'!$A$2:$A$83,0)),0)&gt;0,IFERROR(INDEX('Référentiel'!$D$2:$D$83,MATCH($C280,'Référentiel'!$A$2:$A$83,0)),0),"")))="","",IF(AND(IFERROR(INDEX('Référentiel'!$F$2:$F$83,MATCH($C280,'Référentiel'!$A$2:$A$83,0)),0)&gt;0,N($J280)&gt;0),MIN(IF($M280&lt;&gt;"",IF($L280&lt;&gt;"",MIN($L280,$M280),$M280),IF($L280&lt;&gt;"",$L280,IF(IFERROR(INDEX('Référentiel'!$D$2:$D$83,MATCH($C280,'Référentiel'!$A$2:$A$83,0)),0)&gt;0,IFERROR(INDEX('Référentiel'!$D$2:$D$83,MATCH($C280,'Référentiel'!$A$2:$A$83,0)),0),""))),IFERROR(INDEX('Référentiel'!$F$2:$F$83,MATCH($C280,'Référentiel'!$A$2:$A$83,0)),0)),IF($M280&lt;&gt;"",IF($L280&lt;&gt;"",MIN($L280,$M280),$M280),IF($L280&lt;&gt;"",$L280,IF(IFERROR(INDEX('Référentiel'!$D$2:$D$83,MATCH($C280,'Référentiel'!$A$2:$A$83,0)),0)&gt;0,IFERROR(INDEX('Référentiel'!$D$2:$D$83,MATCH($C280,'Référentiel'!$A$2:$A$83,0)),0),""))))))</f>
      </c>
      <c r="O280" s="9"/>
      <c r="P280" s="23"/>
      <c r="Q280" s="9"/>
      <c r="R280" s="24"/>
      <c r="S280" s="23"/>
      <c r="T280" s="23"/>
      <c r="U280" s="24"/>
      <c r="V280" s="20">
        <f>IF($C280="","",IFERROR(INDEX('Référentiel'!$K$2:$K$83,MATCH($C280,'Référentiel'!$A$2:$A$83,0)),""))</f>
      </c>
      <c r="W280" s="20">
        <f>IF(AND(ISNUMBER($G280),$I280&lt;&gt;"Hors service",$I280&lt;&gt;"Location terminée"),$G280+ROW()/100000,"")</f>
      </c>
      <c r="X280" s="9"/>
    </row>
    <row r="281" spans="1:24" x14ac:dyDescent="0.25">
      <c r="A281" s="9"/>
      <c r="B281" s="9"/>
      <c r="C281" s="9"/>
      <c r="D281" s="9"/>
      <c r="E281" s="19">
        <f>IF($A281="","",IF(SUMPRODUCT(MAX((Vérifications!$B$2:$B$1001=$A281)*Vérifications!$L$2:$L$1001))=0,"",SUMPRODUCT(MAX((Vérifications!$B$2:$B$1001=$A281)*Vérifications!$L$2:$L$1001))))</f>
      </c>
      <c r="F281" s="20">
        <f>IF($E281="","",IFERROR(INDEX(Vérifications!$E$2:$E$1001,MATCH($A281&amp;"|"&amp;$E281,Vérifications!$M$2:$M$1001,0)),""))</f>
      </c>
      <c r="G281" s="19">
        <f>IF($N281="","",IF(ISNUMBER($E281),EDATE($E281,$N281),IF(AND(ISNUMBER($U281),IFERROR(INDEX('Référentiel'!$E$2:$E$83,MATCH($C281,'Référentiel'!$A$2:$A$83,0)),0)&gt;0),EDATE($U281,IFERROR(INDEX('Référentiel'!$E$2:$E$83,MATCH($C281,'Référentiel'!$A$2:$A$83,0)),0)),"")))</f>
      </c>
      <c r="H281" s="21">
        <f>IF(ISNUMBER($G281),$G281-TODAY(),"")</f>
      </c>
      <c r="I281" s="20">
        <f>IF(AND($A281="",$C281=""),"",IF($T281="Non","Hors service",IF(AND($Q281="Location",ISNUMBER($R281),$R281&lt;TODAY()),"Location terminée",IF(OR($F281="Mise à l'arrêt",IF($A281="",0,SUMPRODUCT((Réserves!$B$2:$B$301=$A281)*(Réserves!$E$2:$E$301="Mise à l'arrêt")*(Réserves!$J$2:$J$301&lt;&gt;"Levée")*(Réserves!$J$2:$J$301&lt;&gt;"")))&gt;0),"Arrêt : réserve à lever",IF($C281="","Type à choisir",IF($N281="","Périodicité à saisir",IF(OR(ISTEXT($U281),ISTEXT($R281)),"Date à corriger",IF(AND($E281="",$Q281="Location",$S281&lt;&gt;"Oui"),"Rapport loueur à obtenir",IF(NOT(ISNUMBER($G281)),"Vérif. initiale à tracer",IF($H281&lt;0,"En retard",IF(AND($Q281="Location",$S281&lt;&gt;"Oui"),"Rapport loueur à obtenir",IF($H281&lt;='Tableau de bord'!$C$4,"À planifier","À jour"))))))))))))</f>
      </c>
      <c r="J281" s="22">
        <f>IF($A281="","",COUNTIFS(Réserves!$B$2:$B$301,$A281,Réserves!$J$2:$J$301,"Ouverte")+COUNTIFS(Réserves!$B$2:$B$301,$A281,Réserves!$J$2:$J$301,"En retard"))</f>
      </c>
      <c r="K281" s="20">
        <f>IF($C281="","",IFERROR(INDEX('Référentiel'!$B$2:$B$83,MATCH($C281,'Référentiel'!$A$2:$A$83,0)),"Type hors liste"))</f>
      </c>
      <c r="L281" s="22">
        <f>IF($C281="","",IF(IFERROR(INDEX('Référentiel'!$C$2:$C$83,MATCH($C281,'Référentiel'!$A$2:$A$83,0)),0)=0,"",IFERROR(INDEX('Référentiel'!$C$2:$C$83,MATCH($C281,'Référentiel'!$A$2:$A$83,0)),0)))</f>
      </c>
      <c r="M281" s="23"/>
      <c r="N281" s="22">
        <f>IF($C281="","",IF(IF($M281&lt;&gt;"",IF($L281&lt;&gt;"",MIN($L281,$M281),$M281),IF($L281&lt;&gt;"",$L281,IF(IFERROR(INDEX('Référentiel'!$D$2:$D$83,MATCH($C281,'Référentiel'!$A$2:$A$83,0)),0)&gt;0,IFERROR(INDEX('Référentiel'!$D$2:$D$83,MATCH($C281,'Référentiel'!$A$2:$A$83,0)),0),"")))="","",IF(AND(IFERROR(INDEX('Référentiel'!$F$2:$F$83,MATCH($C281,'Référentiel'!$A$2:$A$83,0)),0)&gt;0,N($J281)&gt;0),MIN(IF($M281&lt;&gt;"",IF($L281&lt;&gt;"",MIN($L281,$M281),$M281),IF($L281&lt;&gt;"",$L281,IF(IFERROR(INDEX('Référentiel'!$D$2:$D$83,MATCH($C281,'Référentiel'!$A$2:$A$83,0)),0)&gt;0,IFERROR(INDEX('Référentiel'!$D$2:$D$83,MATCH($C281,'Référentiel'!$A$2:$A$83,0)),0),""))),IFERROR(INDEX('Référentiel'!$F$2:$F$83,MATCH($C281,'Référentiel'!$A$2:$A$83,0)),0)),IF($M281&lt;&gt;"",IF($L281&lt;&gt;"",MIN($L281,$M281),$M281),IF($L281&lt;&gt;"",$L281,IF(IFERROR(INDEX('Référentiel'!$D$2:$D$83,MATCH($C281,'Référentiel'!$A$2:$A$83,0)),0)&gt;0,IFERROR(INDEX('Référentiel'!$D$2:$D$83,MATCH($C281,'Référentiel'!$A$2:$A$83,0)),0),""))))))</f>
      </c>
      <c r="O281" s="9"/>
      <c r="P281" s="23"/>
      <c r="Q281" s="9"/>
      <c r="R281" s="24"/>
      <c r="S281" s="23"/>
      <c r="T281" s="23"/>
      <c r="U281" s="24"/>
      <c r="V281" s="20">
        <f>IF($C281="","",IFERROR(INDEX('Référentiel'!$K$2:$K$83,MATCH($C281,'Référentiel'!$A$2:$A$83,0)),""))</f>
      </c>
      <c r="W281" s="20">
        <f>IF(AND(ISNUMBER($G281),$I281&lt;&gt;"Hors service",$I281&lt;&gt;"Location terminée"),$G281+ROW()/100000,"")</f>
      </c>
      <c r="X281" s="9"/>
    </row>
    <row r="282" spans="1:24" x14ac:dyDescent="0.25">
      <c r="A282" s="9"/>
      <c r="B282" s="9"/>
      <c r="C282" s="9"/>
      <c r="D282" s="9"/>
      <c r="E282" s="19">
        <f>IF($A282="","",IF(SUMPRODUCT(MAX((Vérifications!$B$2:$B$1001=$A282)*Vérifications!$L$2:$L$1001))=0,"",SUMPRODUCT(MAX((Vérifications!$B$2:$B$1001=$A282)*Vérifications!$L$2:$L$1001))))</f>
      </c>
      <c r="F282" s="20">
        <f>IF($E282="","",IFERROR(INDEX(Vérifications!$E$2:$E$1001,MATCH($A282&amp;"|"&amp;$E282,Vérifications!$M$2:$M$1001,0)),""))</f>
      </c>
      <c r="G282" s="19">
        <f>IF($N282="","",IF(ISNUMBER($E282),EDATE($E282,$N282),IF(AND(ISNUMBER($U282),IFERROR(INDEX('Référentiel'!$E$2:$E$83,MATCH($C282,'Référentiel'!$A$2:$A$83,0)),0)&gt;0),EDATE($U282,IFERROR(INDEX('Référentiel'!$E$2:$E$83,MATCH($C282,'Référentiel'!$A$2:$A$83,0)),0)),"")))</f>
      </c>
      <c r="H282" s="21">
        <f>IF(ISNUMBER($G282),$G282-TODAY(),"")</f>
      </c>
      <c r="I282" s="20">
        <f>IF(AND($A282="",$C282=""),"",IF($T282="Non","Hors service",IF(AND($Q282="Location",ISNUMBER($R282),$R282&lt;TODAY()),"Location terminée",IF(OR($F282="Mise à l'arrêt",IF($A282="",0,SUMPRODUCT((Réserves!$B$2:$B$301=$A282)*(Réserves!$E$2:$E$301="Mise à l'arrêt")*(Réserves!$J$2:$J$301&lt;&gt;"Levée")*(Réserves!$J$2:$J$301&lt;&gt;"")))&gt;0),"Arrêt : réserve à lever",IF($C282="","Type à choisir",IF($N282="","Périodicité à saisir",IF(OR(ISTEXT($U282),ISTEXT($R282)),"Date à corriger",IF(AND($E282="",$Q282="Location",$S282&lt;&gt;"Oui"),"Rapport loueur à obtenir",IF(NOT(ISNUMBER($G282)),"Vérif. initiale à tracer",IF($H282&lt;0,"En retard",IF(AND($Q282="Location",$S282&lt;&gt;"Oui"),"Rapport loueur à obtenir",IF($H282&lt;='Tableau de bord'!$C$4,"À planifier","À jour"))))))))))))</f>
      </c>
      <c r="J282" s="22">
        <f>IF($A282="","",COUNTIFS(Réserves!$B$2:$B$301,$A282,Réserves!$J$2:$J$301,"Ouverte")+COUNTIFS(Réserves!$B$2:$B$301,$A282,Réserves!$J$2:$J$301,"En retard"))</f>
      </c>
      <c r="K282" s="20">
        <f>IF($C282="","",IFERROR(INDEX('Référentiel'!$B$2:$B$83,MATCH($C282,'Référentiel'!$A$2:$A$83,0)),"Type hors liste"))</f>
      </c>
      <c r="L282" s="22">
        <f>IF($C282="","",IF(IFERROR(INDEX('Référentiel'!$C$2:$C$83,MATCH($C282,'Référentiel'!$A$2:$A$83,0)),0)=0,"",IFERROR(INDEX('Référentiel'!$C$2:$C$83,MATCH($C282,'Référentiel'!$A$2:$A$83,0)),0)))</f>
      </c>
      <c r="M282" s="23"/>
      <c r="N282" s="22">
        <f>IF($C282="","",IF(IF($M282&lt;&gt;"",IF($L282&lt;&gt;"",MIN($L282,$M282),$M282),IF($L282&lt;&gt;"",$L282,IF(IFERROR(INDEX('Référentiel'!$D$2:$D$83,MATCH($C282,'Référentiel'!$A$2:$A$83,0)),0)&gt;0,IFERROR(INDEX('Référentiel'!$D$2:$D$83,MATCH($C282,'Référentiel'!$A$2:$A$83,0)),0),"")))="","",IF(AND(IFERROR(INDEX('Référentiel'!$F$2:$F$83,MATCH($C282,'Référentiel'!$A$2:$A$83,0)),0)&gt;0,N($J282)&gt;0),MIN(IF($M282&lt;&gt;"",IF($L282&lt;&gt;"",MIN($L282,$M282),$M282),IF($L282&lt;&gt;"",$L282,IF(IFERROR(INDEX('Référentiel'!$D$2:$D$83,MATCH($C282,'Référentiel'!$A$2:$A$83,0)),0)&gt;0,IFERROR(INDEX('Référentiel'!$D$2:$D$83,MATCH($C282,'Référentiel'!$A$2:$A$83,0)),0),""))),IFERROR(INDEX('Référentiel'!$F$2:$F$83,MATCH($C282,'Référentiel'!$A$2:$A$83,0)),0)),IF($M282&lt;&gt;"",IF($L282&lt;&gt;"",MIN($L282,$M282),$M282),IF($L282&lt;&gt;"",$L282,IF(IFERROR(INDEX('Référentiel'!$D$2:$D$83,MATCH($C282,'Référentiel'!$A$2:$A$83,0)),0)&gt;0,IFERROR(INDEX('Référentiel'!$D$2:$D$83,MATCH($C282,'Référentiel'!$A$2:$A$83,0)),0),""))))))</f>
      </c>
      <c r="O282" s="9"/>
      <c r="P282" s="23"/>
      <c r="Q282" s="9"/>
      <c r="R282" s="24"/>
      <c r="S282" s="23"/>
      <c r="T282" s="23"/>
      <c r="U282" s="24"/>
      <c r="V282" s="20">
        <f>IF($C282="","",IFERROR(INDEX('Référentiel'!$K$2:$K$83,MATCH($C282,'Référentiel'!$A$2:$A$83,0)),""))</f>
      </c>
      <c r="W282" s="20">
        <f>IF(AND(ISNUMBER($G282),$I282&lt;&gt;"Hors service",$I282&lt;&gt;"Location terminée"),$G282+ROW()/100000,"")</f>
      </c>
      <c r="X282" s="9"/>
    </row>
    <row r="283" spans="1:24" x14ac:dyDescent="0.25">
      <c r="A283" s="9"/>
      <c r="B283" s="9"/>
      <c r="C283" s="9"/>
      <c r="D283" s="9"/>
      <c r="E283" s="19">
        <f>IF($A283="","",IF(SUMPRODUCT(MAX((Vérifications!$B$2:$B$1001=$A283)*Vérifications!$L$2:$L$1001))=0,"",SUMPRODUCT(MAX((Vérifications!$B$2:$B$1001=$A283)*Vérifications!$L$2:$L$1001))))</f>
      </c>
      <c r="F283" s="20">
        <f>IF($E283="","",IFERROR(INDEX(Vérifications!$E$2:$E$1001,MATCH($A283&amp;"|"&amp;$E283,Vérifications!$M$2:$M$1001,0)),""))</f>
      </c>
      <c r="G283" s="19">
        <f>IF($N283="","",IF(ISNUMBER($E283),EDATE($E283,$N283),IF(AND(ISNUMBER($U283),IFERROR(INDEX('Référentiel'!$E$2:$E$83,MATCH($C283,'Référentiel'!$A$2:$A$83,0)),0)&gt;0),EDATE($U283,IFERROR(INDEX('Référentiel'!$E$2:$E$83,MATCH($C283,'Référentiel'!$A$2:$A$83,0)),0)),"")))</f>
      </c>
      <c r="H283" s="21">
        <f>IF(ISNUMBER($G283),$G283-TODAY(),"")</f>
      </c>
      <c r="I283" s="20">
        <f>IF(AND($A283="",$C283=""),"",IF($T283="Non","Hors service",IF(AND($Q283="Location",ISNUMBER($R283),$R283&lt;TODAY()),"Location terminée",IF(OR($F283="Mise à l'arrêt",IF($A283="",0,SUMPRODUCT((Réserves!$B$2:$B$301=$A283)*(Réserves!$E$2:$E$301="Mise à l'arrêt")*(Réserves!$J$2:$J$301&lt;&gt;"Levée")*(Réserves!$J$2:$J$301&lt;&gt;"")))&gt;0),"Arrêt : réserve à lever",IF($C283="","Type à choisir",IF($N283="","Périodicité à saisir",IF(OR(ISTEXT($U283),ISTEXT($R283)),"Date à corriger",IF(AND($E283="",$Q283="Location",$S283&lt;&gt;"Oui"),"Rapport loueur à obtenir",IF(NOT(ISNUMBER($G283)),"Vérif. initiale à tracer",IF($H283&lt;0,"En retard",IF(AND($Q283="Location",$S283&lt;&gt;"Oui"),"Rapport loueur à obtenir",IF($H283&lt;='Tableau de bord'!$C$4,"À planifier","À jour"))))))))))))</f>
      </c>
      <c r="J283" s="22">
        <f>IF($A283="","",COUNTIFS(Réserves!$B$2:$B$301,$A283,Réserves!$J$2:$J$301,"Ouverte")+COUNTIFS(Réserves!$B$2:$B$301,$A283,Réserves!$J$2:$J$301,"En retard"))</f>
      </c>
      <c r="K283" s="20">
        <f>IF($C283="","",IFERROR(INDEX('Référentiel'!$B$2:$B$83,MATCH($C283,'Référentiel'!$A$2:$A$83,0)),"Type hors liste"))</f>
      </c>
      <c r="L283" s="22">
        <f>IF($C283="","",IF(IFERROR(INDEX('Référentiel'!$C$2:$C$83,MATCH($C283,'Référentiel'!$A$2:$A$83,0)),0)=0,"",IFERROR(INDEX('Référentiel'!$C$2:$C$83,MATCH($C283,'Référentiel'!$A$2:$A$83,0)),0)))</f>
      </c>
      <c r="M283" s="23"/>
      <c r="N283" s="22">
        <f>IF($C283="","",IF(IF($M283&lt;&gt;"",IF($L283&lt;&gt;"",MIN($L283,$M283),$M283),IF($L283&lt;&gt;"",$L283,IF(IFERROR(INDEX('Référentiel'!$D$2:$D$83,MATCH($C283,'Référentiel'!$A$2:$A$83,0)),0)&gt;0,IFERROR(INDEX('Référentiel'!$D$2:$D$83,MATCH($C283,'Référentiel'!$A$2:$A$83,0)),0),"")))="","",IF(AND(IFERROR(INDEX('Référentiel'!$F$2:$F$83,MATCH($C283,'Référentiel'!$A$2:$A$83,0)),0)&gt;0,N($J283)&gt;0),MIN(IF($M283&lt;&gt;"",IF($L283&lt;&gt;"",MIN($L283,$M283),$M283),IF($L283&lt;&gt;"",$L283,IF(IFERROR(INDEX('Référentiel'!$D$2:$D$83,MATCH($C283,'Référentiel'!$A$2:$A$83,0)),0)&gt;0,IFERROR(INDEX('Référentiel'!$D$2:$D$83,MATCH($C283,'Référentiel'!$A$2:$A$83,0)),0),""))),IFERROR(INDEX('Référentiel'!$F$2:$F$83,MATCH($C283,'Référentiel'!$A$2:$A$83,0)),0)),IF($M283&lt;&gt;"",IF($L283&lt;&gt;"",MIN($L283,$M283),$M283),IF($L283&lt;&gt;"",$L283,IF(IFERROR(INDEX('Référentiel'!$D$2:$D$83,MATCH($C283,'Référentiel'!$A$2:$A$83,0)),0)&gt;0,IFERROR(INDEX('Référentiel'!$D$2:$D$83,MATCH($C283,'Référentiel'!$A$2:$A$83,0)),0),""))))))</f>
      </c>
      <c r="O283" s="9"/>
      <c r="P283" s="23"/>
      <c r="Q283" s="9"/>
      <c r="R283" s="24"/>
      <c r="S283" s="23"/>
      <c r="T283" s="23"/>
      <c r="U283" s="24"/>
      <c r="V283" s="20">
        <f>IF($C283="","",IFERROR(INDEX('Référentiel'!$K$2:$K$83,MATCH($C283,'Référentiel'!$A$2:$A$83,0)),""))</f>
      </c>
      <c r="W283" s="20">
        <f>IF(AND(ISNUMBER($G283),$I283&lt;&gt;"Hors service",$I283&lt;&gt;"Location terminée"),$G283+ROW()/100000,"")</f>
      </c>
      <c r="X283" s="9"/>
    </row>
    <row r="284" spans="1:24" x14ac:dyDescent="0.25">
      <c r="A284" s="9"/>
      <c r="B284" s="9"/>
      <c r="C284" s="9"/>
      <c r="D284" s="9"/>
      <c r="E284" s="19">
        <f>IF($A284="","",IF(SUMPRODUCT(MAX((Vérifications!$B$2:$B$1001=$A284)*Vérifications!$L$2:$L$1001))=0,"",SUMPRODUCT(MAX((Vérifications!$B$2:$B$1001=$A284)*Vérifications!$L$2:$L$1001))))</f>
      </c>
      <c r="F284" s="20">
        <f>IF($E284="","",IFERROR(INDEX(Vérifications!$E$2:$E$1001,MATCH($A284&amp;"|"&amp;$E284,Vérifications!$M$2:$M$1001,0)),""))</f>
      </c>
      <c r="G284" s="19">
        <f>IF($N284="","",IF(ISNUMBER($E284),EDATE($E284,$N284),IF(AND(ISNUMBER($U284),IFERROR(INDEX('Référentiel'!$E$2:$E$83,MATCH($C284,'Référentiel'!$A$2:$A$83,0)),0)&gt;0),EDATE($U284,IFERROR(INDEX('Référentiel'!$E$2:$E$83,MATCH($C284,'Référentiel'!$A$2:$A$83,0)),0)),"")))</f>
      </c>
      <c r="H284" s="21">
        <f>IF(ISNUMBER($G284),$G284-TODAY(),"")</f>
      </c>
      <c r="I284" s="20">
        <f>IF(AND($A284="",$C284=""),"",IF($T284="Non","Hors service",IF(AND($Q284="Location",ISNUMBER($R284),$R284&lt;TODAY()),"Location terminée",IF(OR($F284="Mise à l'arrêt",IF($A284="",0,SUMPRODUCT((Réserves!$B$2:$B$301=$A284)*(Réserves!$E$2:$E$301="Mise à l'arrêt")*(Réserves!$J$2:$J$301&lt;&gt;"Levée")*(Réserves!$J$2:$J$301&lt;&gt;"")))&gt;0),"Arrêt : réserve à lever",IF($C284="","Type à choisir",IF($N284="","Périodicité à saisir",IF(OR(ISTEXT($U284),ISTEXT($R284)),"Date à corriger",IF(AND($E284="",$Q284="Location",$S284&lt;&gt;"Oui"),"Rapport loueur à obtenir",IF(NOT(ISNUMBER($G284)),"Vérif. initiale à tracer",IF($H284&lt;0,"En retard",IF(AND($Q284="Location",$S284&lt;&gt;"Oui"),"Rapport loueur à obtenir",IF($H284&lt;='Tableau de bord'!$C$4,"À planifier","À jour"))))))))))))</f>
      </c>
      <c r="J284" s="22">
        <f>IF($A284="","",COUNTIFS(Réserves!$B$2:$B$301,$A284,Réserves!$J$2:$J$301,"Ouverte")+COUNTIFS(Réserves!$B$2:$B$301,$A284,Réserves!$J$2:$J$301,"En retard"))</f>
      </c>
      <c r="K284" s="20">
        <f>IF($C284="","",IFERROR(INDEX('Référentiel'!$B$2:$B$83,MATCH($C284,'Référentiel'!$A$2:$A$83,0)),"Type hors liste"))</f>
      </c>
      <c r="L284" s="22">
        <f>IF($C284="","",IF(IFERROR(INDEX('Référentiel'!$C$2:$C$83,MATCH($C284,'Référentiel'!$A$2:$A$83,0)),0)=0,"",IFERROR(INDEX('Référentiel'!$C$2:$C$83,MATCH($C284,'Référentiel'!$A$2:$A$83,0)),0)))</f>
      </c>
      <c r="M284" s="23"/>
      <c r="N284" s="22">
        <f>IF($C284="","",IF(IF($M284&lt;&gt;"",IF($L284&lt;&gt;"",MIN($L284,$M284),$M284),IF($L284&lt;&gt;"",$L284,IF(IFERROR(INDEX('Référentiel'!$D$2:$D$83,MATCH($C284,'Référentiel'!$A$2:$A$83,0)),0)&gt;0,IFERROR(INDEX('Référentiel'!$D$2:$D$83,MATCH($C284,'Référentiel'!$A$2:$A$83,0)),0),"")))="","",IF(AND(IFERROR(INDEX('Référentiel'!$F$2:$F$83,MATCH($C284,'Référentiel'!$A$2:$A$83,0)),0)&gt;0,N($J284)&gt;0),MIN(IF($M284&lt;&gt;"",IF($L284&lt;&gt;"",MIN($L284,$M284),$M284),IF($L284&lt;&gt;"",$L284,IF(IFERROR(INDEX('Référentiel'!$D$2:$D$83,MATCH($C284,'Référentiel'!$A$2:$A$83,0)),0)&gt;0,IFERROR(INDEX('Référentiel'!$D$2:$D$83,MATCH($C284,'Référentiel'!$A$2:$A$83,0)),0),""))),IFERROR(INDEX('Référentiel'!$F$2:$F$83,MATCH($C284,'Référentiel'!$A$2:$A$83,0)),0)),IF($M284&lt;&gt;"",IF($L284&lt;&gt;"",MIN($L284,$M284),$M284),IF($L284&lt;&gt;"",$L284,IF(IFERROR(INDEX('Référentiel'!$D$2:$D$83,MATCH($C284,'Référentiel'!$A$2:$A$83,0)),0)&gt;0,IFERROR(INDEX('Référentiel'!$D$2:$D$83,MATCH($C284,'Référentiel'!$A$2:$A$83,0)),0),""))))))</f>
      </c>
      <c r="O284" s="9"/>
      <c r="P284" s="23"/>
      <c r="Q284" s="9"/>
      <c r="R284" s="24"/>
      <c r="S284" s="23"/>
      <c r="T284" s="23"/>
      <c r="U284" s="24"/>
      <c r="V284" s="20">
        <f>IF($C284="","",IFERROR(INDEX('Référentiel'!$K$2:$K$83,MATCH($C284,'Référentiel'!$A$2:$A$83,0)),""))</f>
      </c>
      <c r="W284" s="20">
        <f>IF(AND(ISNUMBER($G284),$I284&lt;&gt;"Hors service",$I284&lt;&gt;"Location terminée"),$G284+ROW()/100000,"")</f>
      </c>
      <c r="X284" s="9"/>
    </row>
    <row r="285" spans="1:24" x14ac:dyDescent="0.25">
      <c r="A285" s="9"/>
      <c r="B285" s="9"/>
      <c r="C285" s="9"/>
      <c r="D285" s="9"/>
      <c r="E285" s="19">
        <f>IF($A285="","",IF(SUMPRODUCT(MAX((Vérifications!$B$2:$B$1001=$A285)*Vérifications!$L$2:$L$1001))=0,"",SUMPRODUCT(MAX((Vérifications!$B$2:$B$1001=$A285)*Vérifications!$L$2:$L$1001))))</f>
      </c>
      <c r="F285" s="20">
        <f>IF($E285="","",IFERROR(INDEX(Vérifications!$E$2:$E$1001,MATCH($A285&amp;"|"&amp;$E285,Vérifications!$M$2:$M$1001,0)),""))</f>
      </c>
      <c r="G285" s="19">
        <f>IF($N285="","",IF(ISNUMBER($E285),EDATE($E285,$N285),IF(AND(ISNUMBER($U285),IFERROR(INDEX('Référentiel'!$E$2:$E$83,MATCH($C285,'Référentiel'!$A$2:$A$83,0)),0)&gt;0),EDATE($U285,IFERROR(INDEX('Référentiel'!$E$2:$E$83,MATCH($C285,'Référentiel'!$A$2:$A$83,0)),0)),"")))</f>
      </c>
      <c r="H285" s="21">
        <f>IF(ISNUMBER($G285),$G285-TODAY(),"")</f>
      </c>
      <c r="I285" s="20">
        <f>IF(AND($A285="",$C285=""),"",IF($T285="Non","Hors service",IF(AND($Q285="Location",ISNUMBER($R285),$R285&lt;TODAY()),"Location terminée",IF(OR($F285="Mise à l'arrêt",IF($A285="",0,SUMPRODUCT((Réserves!$B$2:$B$301=$A285)*(Réserves!$E$2:$E$301="Mise à l'arrêt")*(Réserves!$J$2:$J$301&lt;&gt;"Levée")*(Réserves!$J$2:$J$301&lt;&gt;"")))&gt;0),"Arrêt : réserve à lever",IF($C285="","Type à choisir",IF($N285="","Périodicité à saisir",IF(OR(ISTEXT($U285),ISTEXT($R285)),"Date à corriger",IF(AND($E285="",$Q285="Location",$S285&lt;&gt;"Oui"),"Rapport loueur à obtenir",IF(NOT(ISNUMBER($G285)),"Vérif. initiale à tracer",IF($H285&lt;0,"En retard",IF(AND($Q285="Location",$S285&lt;&gt;"Oui"),"Rapport loueur à obtenir",IF($H285&lt;='Tableau de bord'!$C$4,"À planifier","À jour"))))))))))))</f>
      </c>
      <c r="J285" s="22">
        <f>IF($A285="","",COUNTIFS(Réserves!$B$2:$B$301,$A285,Réserves!$J$2:$J$301,"Ouverte")+COUNTIFS(Réserves!$B$2:$B$301,$A285,Réserves!$J$2:$J$301,"En retard"))</f>
      </c>
      <c r="K285" s="20">
        <f>IF($C285="","",IFERROR(INDEX('Référentiel'!$B$2:$B$83,MATCH($C285,'Référentiel'!$A$2:$A$83,0)),"Type hors liste"))</f>
      </c>
      <c r="L285" s="22">
        <f>IF($C285="","",IF(IFERROR(INDEX('Référentiel'!$C$2:$C$83,MATCH($C285,'Référentiel'!$A$2:$A$83,0)),0)=0,"",IFERROR(INDEX('Référentiel'!$C$2:$C$83,MATCH($C285,'Référentiel'!$A$2:$A$83,0)),0)))</f>
      </c>
      <c r="M285" s="23"/>
      <c r="N285" s="22">
        <f>IF($C285="","",IF(IF($M285&lt;&gt;"",IF($L285&lt;&gt;"",MIN($L285,$M285),$M285),IF($L285&lt;&gt;"",$L285,IF(IFERROR(INDEX('Référentiel'!$D$2:$D$83,MATCH($C285,'Référentiel'!$A$2:$A$83,0)),0)&gt;0,IFERROR(INDEX('Référentiel'!$D$2:$D$83,MATCH($C285,'Référentiel'!$A$2:$A$83,0)),0),"")))="","",IF(AND(IFERROR(INDEX('Référentiel'!$F$2:$F$83,MATCH($C285,'Référentiel'!$A$2:$A$83,0)),0)&gt;0,N($J285)&gt;0),MIN(IF($M285&lt;&gt;"",IF($L285&lt;&gt;"",MIN($L285,$M285),$M285),IF($L285&lt;&gt;"",$L285,IF(IFERROR(INDEX('Référentiel'!$D$2:$D$83,MATCH($C285,'Référentiel'!$A$2:$A$83,0)),0)&gt;0,IFERROR(INDEX('Référentiel'!$D$2:$D$83,MATCH($C285,'Référentiel'!$A$2:$A$83,0)),0),""))),IFERROR(INDEX('Référentiel'!$F$2:$F$83,MATCH($C285,'Référentiel'!$A$2:$A$83,0)),0)),IF($M285&lt;&gt;"",IF($L285&lt;&gt;"",MIN($L285,$M285),$M285),IF($L285&lt;&gt;"",$L285,IF(IFERROR(INDEX('Référentiel'!$D$2:$D$83,MATCH($C285,'Référentiel'!$A$2:$A$83,0)),0)&gt;0,IFERROR(INDEX('Référentiel'!$D$2:$D$83,MATCH($C285,'Référentiel'!$A$2:$A$83,0)),0),""))))))</f>
      </c>
      <c r="O285" s="9"/>
      <c r="P285" s="23"/>
      <c r="Q285" s="9"/>
      <c r="R285" s="24"/>
      <c r="S285" s="23"/>
      <c r="T285" s="23"/>
      <c r="U285" s="24"/>
      <c r="V285" s="20">
        <f>IF($C285="","",IFERROR(INDEX('Référentiel'!$K$2:$K$83,MATCH($C285,'Référentiel'!$A$2:$A$83,0)),""))</f>
      </c>
      <c r="W285" s="20">
        <f>IF(AND(ISNUMBER($G285),$I285&lt;&gt;"Hors service",$I285&lt;&gt;"Location terminée"),$G285+ROW()/100000,"")</f>
      </c>
      <c r="X285" s="9"/>
    </row>
    <row r="286" spans="1:24" x14ac:dyDescent="0.25">
      <c r="A286" s="9"/>
      <c r="B286" s="9"/>
      <c r="C286" s="9"/>
      <c r="D286" s="9"/>
      <c r="E286" s="19">
        <f>IF($A286="","",IF(SUMPRODUCT(MAX((Vérifications!$B$2:$B$1001=$A286)*Vérifications!$L$2:$L$1001))=0,"",SUMPRODUCT(MAX((Vérifications!$B$2:$B$1001=$A286)*Vérifications!$L$2:$L$1001))))</f>
      </c>
      <c r="F286" s="20">
        <f>IF($E286="","",IFERROR(INDEX(Vérifications!$E$2:$E$1001,MATCH($A286&amp;"|"&amp;$E286,Vérifications!$M$2:$M$1001,0)),""))</f>
      </c>
      <c r="G286" s="19">
        <f>IF($N286="","",IF(ISNUMBER($E286),EDATE($E286,$N286),IF(AND(ISNUMBER($U286),IFERROR(INDEX('Référentiel'!$E$2:$E$83,MATCH($C286,'Référentiel'!$A$2:$A$83,0)),0)&gt;0),EDATE($U286,IFERROR(INDEX('Référentiel'!$E$2:$E$83,MATCH($C286,'Référentiel'!$A$2:$A$83,0)),0)),"")))</f>
      </c>
      <c r="H286" s="21">
        <f>IF(ISNUMBER($G286),$G286-TODAY(),"")</f>
      </c>
      <c r="I286" s="20">
        <f>IF(AND($A286="",$C286=""),"",IF($T286="Non","Hors service",IF(AND($Q286="Location",ISNUMBER($R286),$R286&lt;TODAY()),"Location terminée",IF(OR($F286="Mise à l'arrêt",IF($A286="",0,SUMPRODUCT((Réserves!$B$2:$B$301=$A286)*(Réserves!$E$2:$E$301="Mise à l'arrêt")*(Réserves!$J$2:$J$301&lt;&gt;"Levée")*(Réserves!$J$2:$J$301&lt;&gt;"")))&gt;0),"Arrêt : réserve à lever",IF($C286="","Type à choisir",IF($N286="","Périodicité à saisir",IF(OR(ISTEXT($U286),ISTEXT($R286)),"Date à corriger",IF(AND($E286="",$Q286="Location",$S286&lt;&gt;"Oui"),"Rapport loueur à obtenir",IF(NOT(ISNUMBER($G286)),"Vérif. initiale à tracer",IF($H286&lt;0,"En retard",IF(AND($Q286="Location",$S286&lt;&gt;"Oui"),"Rapport loueur à obtenir",IF($H286&lt;='Tableau de bord'!$C$4,"À planifier","À jour"))))))))))))</f>
      </c>
      <c r="J286" s="22">
        <f>IF($A286="","",COUNTIFS(Réserves!$B$2:$B$301,$A286,Réserves!$J$2:$J$301,"Ouverte")+COUNTIFS(Réserves!$B$2:$B$301,$A286,Réserves!$J$2:$J$301,"En retard"))</f>
      </c>
      <c r="K286" s="20">
        <f>IF($C286="","",IFERROR(INDEX('Référentiel'!$B$2:$B$83,MATCH($C286,'Référentiel'!$A$2:$A$83,0)),"Type hors liste"))</f>
      </c>
      <c r="L286" s="22">
        <f>IF($C286="","",IF(IFERROR(INDEX('Référentiel'!$C$2:$C$83,MATCH($C286,'Référentiel'!$A$2:$A$83,0)),0)=0,"",IFERROR(INDEX('Référentiel'!$C$2:$C$83,MATCH($C286,'Référentiel'!$A$2:$A$83,0)),0)))</f>
      </c>
      <c r="M286" s="23"/>
      <c r="N286" s="22">
        <f>IF($C286="","",IF(IF($M286&lt;&gt;"",IF($L286&lt;&gt;"",MIN($L286,$M286),$M286),IF($L286&lt;&gt;"",$L286,IF(IFERROR(INDEX('Référentiel'!$D$2:$D$83,MATCH($C286,'Référentiel'!$A$2:$A$83,0)),0)&gt;0,IFERROR(INDEX('Référentiel'!$D$2:$D$83,MATCH($C286,'Référentiel'!$A$2:$A$83,0)),0),"")))="","",IF(AND(IFERROR(INDEX('Référentiel'!$F$2:$F$83,MATCH($C286,'Référentiel'!$A$2:$A$83,0)),0)&gt;0,N($J286)&gt;0),MIN(IF($M286&lt;&gt;"",IF($L286&lt;&gt;"",MIN($L286,$M286),$M286),IF($L286&lt;&gt;"",$L286,IF(IFERROR(INDEX('Référentiel'!$D$2:$D$83,MATCH($C286,'Référentiel'!$A$2:$A$83,0)),0)&gt;0,IFERROR(INDEX('Référentiel'!$D$2:$D$83,MATCH($C286,'Référentiel'!$A$2:$A$83,0)),0),""))),IFERROR(INDEX('Référentiel'!$F$2:$F$83,MATCH($C286,'Référentiel'!$A$2:$A$83,0)),0)),IF($M286&lt;&gt;"",IF($L286&lt;&gt;"",MIN($L286,$M286),$M286),IF($L286&lt;&gt;"",$L286,IF(IFERROR(INDEX('Référentiel'!$D$2:$D$83,MATCH($C286,'Référentiel'!$A$2:$A$83,0)),0)&gt;0,IFERROR(INDEX('Référentiel'!$D$2:$D$83,MATCH($C286,'Référentiel'!$A$2:$A$83,0)),0),""))))))</f>
      </c>
      <c r="O286" s="9"/>
      <c r="P286" s="23"/>
      <c r="Q286" s="9"/>
      <c r="R286" s="24"/>
      <c r="S286" s="23"/>
      <c r="T286" s="23"/>
      <c r="U286" s="24"/>
      <c r="V286" s="20">
        <f>IF($C286="","",IFERROR(INDEX('Référentiel'!$K$2:$K$83,MATCH($C286,'Référentiel'!$A$2:$A$83,0)),""))</f>
      </c>
      <c r="W286" s="20">
        <f>IF(AND(ISNUMBER($G286),$I286&lt;&gt;"Hors service",$I286&lt;&gt;"Location terminée"),$G286+ROW()/100000,"")</f>
      </c>
      <c r="X286" s="9"/>
    </row>
    <row r="287" spans="1:24" x14ac:dyDescent="0.25">
      <c r="A287" s="9"/>
      <c r="B287" s="9"/>
      <c r="C287" s="9"/>
      <c r="D287" s="9"/>
      <c r="E287" s="19">
        <f>IF($A287="","",IF(SUMPRODUCT(MAX((Vérifications!$B$2:$B$1001=$A287)*Vérifications!$L$2:$L$1001))=0,"",SUMPRODUCT(MAX((Vérifications!$B$2:$B$1001=$A287)*Vérifications!$L$2:$L$1001))))</f>
      </c>
      <c r="F287" s="20">
        <f>IF($E287="","",IFERROR(INDEX(Vérifications!$E$2:$E$1001,MATCH($A287&amp;"|"&amp;$E287,Vérifications!$M$2:$M$1001,0)),""))</f>
      </c>
      <c r="G287" s="19">
        <f>IF($N287="","",IF(ISNUMBER($E287),EDATE($E287,$N287),IF(AND(ISNUMBER($U287),IFERROR(INDEX('Référentiel'!$E$2:$E$83,MATCH($C287,'Référentiel'!$A$2:$A$83,0)),0)&gt;0),EDATE($U287,IFERROR(INDEX('Référentiel'!$E$2:$E$83,MATCH($C287,'Référentiel'!$A$2:$A$83,0)),0)),"")))</f>
      </c>
      <c r="H287" s="21">
        <f>IF(ISNUMBER($G287),$G287-TODAY(),"")</f>
      </c>
      <c r="I287" s="20">
        <f>IF(AND($A287="",$C287=""),"",IF($T287="Non","Hors service",IF(AND($Q287="Location",ISNUMBER($R287),$R287&lt;TODAY()),"Location terminée",IF(OR($F287="Mise à l'arrêt",IF($A287="",0,SUMPRODUCT((Réserves!$B$2:$B$301=$A287)*(Réserves!$E$2:$E$301="Mise à l'arrêt")*(Réserves!$J$2:$J$301&lt;&gt;"Levée")*(Réserves!$J$2:$J$301&lt;&gt;"")))&gt;0),"Arrêt : réserve à lever",IF($C287="","Type à choisir",IF($N287="","Périodicité à saisir",IF(OR(ISTEXT($U287),ISTEXT($R287)),"Date à corriger",IF(AND($E287="",$Q287="Location",$S287&lt;&gt;"Oui"),"Rapport loueur à obtenir",IF(NOT(ISNUMBER($G287)),"Vérif. initiale à tracer",IF($H287&lt;0,"En retard",IF(AND($Q287="Location",$S287&lt;&gt;"Oui"),"Rapport loueur à obtenir",IF($H287&lt;='Tableau de bord'!$C$4,"À planifier","À jour"))))))))))))</f>
      </c>
      <c r="J287" s="22">
        <f>IF($A287="","",COUNTIFS(Réserves!$B$2:$B$301,$A287,Réserves!$J$2:$J$301,"Ouverte")+COUNTIFS(Réserves!$B$2:$B$301,$A287,Réserves!$J$2:$J$301,"En retard"))</f>
      </c>
      <c r="K287" s="20">
        <f>IF($C287="","",IFERROR(INDEX('Référentiel'!$B$2:$B$83,MATCH($C287,'Référentiel'!$A$2:$A$83,0)),"Type hors liste"))</f>
      </c>
      <c r="L287" s="22">
        <f>IF($C287="","",IF(IFERROR(INDEX('Référentiel'!$C$2:$C$83,MATCH($C287,'Référentiel'!$A$2:$A$83,0)),0)=0,"",IFERROR(INDEX('Référentiel'!$C$2:$C$83,MATCH($C287,'Référentiel'!$A$2:$A$83,0)),0)))</f>
      </c>
      <c r="M287" s="23"/>
      <c r="N287" s="22">
        <f>IF($C287="","",IF(IF($M287&lt;&gt;"",IF($L287&lt;&gt;"",MIN($L287,$M287),$M287),IF($L287&lt;&gt;"",$L287,IF(IFERROR(INDEX('Référentiel'!$D$2:$D$83,MATCH($C287,'Référentiel'!$A$2:$A$83,0)),0)&gt;0,IFERROR(INDEX('Référentiel'!$D$2:$D$83,MATCH($C287,'Référentiel'!$A$2:$A$83,0)),0),"")))="","",IF(AND(IFERROR(INDEX('Référentiel'!$F$2:$F$83,MATCH($C287,'Référentiel'!$A$2:$A$83,0)),0)&gt;0,N($J287)&gt;0),MIN(IF($M287&lt;&gt;"",IF($L287&lt;&gt;"",MIN($L287,$M287),$M287),IF($L287&lt;&gt;"",$L287,IF(IFERROR(INDEX('Référentiel'!$D$2:$D$83,MATCH($C287,'Référentiel'!$A$2:$A$83,0)),0)&gt;0,IFERROR(INDEX('Référentiel'!$D$2:$D$83,MATCH($C287,'Référentiel'!$A$2:$A$83,0)),0),""))),IFERROR(INDEX('Référentiel'!$F$2:$F$83,MATCH($C287,'Référentiel'!$A$2:$A$83,0)),0)),IF($M287&lt;&gt;"",IF($L287&lt;&gt;"",MIN($L287,$M287),$M287),IF($L287&lt;&gt;"",$L287,IF(IFERROR(INDEX('Référentiel'!$D$2:$D$83,MATCH($C287,'Référentiel'!$A$2:$A$83,0)),0)&gt;0,IFERROR(INDEX('Référentiel'!$D$2:$D$83,MATCH($C287,'Référentiel'!$A$2:$A$83,0)),0),""))))))</f>
      </c>
      <c r="O287" s="9"/>
      <c r="P287" s="23"/>
      <c r="Q287" s="9"/>
      <c r="R287" s="24"/>
      <c r="S287" s="23"/>
      <c r="T287" s="23"/>
      <c r="U287" s="24"/>
      <c r="V287" s="20">
        <f>IF($C287="","",IFERROR(INDEX('Référentiel'!$K$2:$K$83,MATCH($C287,'Référentiel'!$A$2:$A$83,0)),""))</f>
      </c>
      <c r="W287" s="20">
        <f>IF(AND(ISNUMBER($G287),$I287&lt;&gt;"Hors service",$I287&lt;&gt;"Location terminée"),$G287+ROW()/100000,"")</f>
      </c>
      <c r="X287" s="9"/>
    </row>
    <row r="288" spans="1:24" x14ac:dyDescent="0.25">
      <c r="A288" s="9"/>
      <c r="B288" s="9"/>
      <c r="C288" s="9"/>
      <c r="D288" s="9"/>
      <c r="E288" s="19">
        <f>IF($A288="","",IF(SUMPRODUCT(MAX((Vérifications!$B$2:$B$1001=$A288)*Vérifications!$L$2:$L$1001))=0,"",SUMPRODUCT(MAX((Vérifications!$B$2:$B$1001=$A288)*Vérifications!$L$2:$L$1001))))</f>
      </c>
      <c r="F288" s="20">
        <f>IF($E288="","",IFERROR(INDEX(Vérifications!$E$2:$E$1001,MATCH($A288&amp;"|"&amp;$E288,Vérifications!$M$2:$M$1001,0)),""))</f>
      </c>
      <c r="G288" s="19">
        <f>IF($N288="","",IF(ISNUMBER($E288),EDATE($E288,$N288),IF(AND(ISNUMBER($U288),IFERROR(INDEX('Référentiel'!$E$2:$E$83,MATCH($C288,'Référentiel'!$A$2:$A$83,0)),0)&gt;0),EDATE($U288,IFERROR(INDEX('Référentiel'!$E$2:$E$83,MATCH($C288,'Référentiel'!$A$2:$A$83,0)),0)),"")))</f>
      </c>
      <c r="H288" s="21">
        <f>IF(ISNUMBER($G288),$G288-TODAY(),"")</f>
      </c>
      <c r="I288" s="20">
        <f>IF(AND($A288="",$C288=""),"",IF($T288="Non","Hors service",IF(AND($Q288="Location",ISNUMBER($R288),$R288&lt;TODAY()),"Location terminée",IF(OR($F288="Mise à l'arrêt",IF($A288="",0,SUMPRODUCT((Réserves!$B$2:$B$301=$A288)*(Réserves!$E$2:$E$301="Mise à l'arrêt")*(Réserves!$J$2:$J$301&lt;&gt;"Levée")*(Réserves!$J$2:$J$301&lt;&gt;"")))&gt;0),"Arrêt : réserve à lever",IF($C288="","Type à choisir",IF($N288="","Périodicité à saisir",IF(OR(ISTEXT($U288),ISTEXT($R288)),"Date à corriger",IF(AND($E288="",$Q288="Location",$S288&lt;&gt;"Oui"),"Rapport loueur à obtenir",IF(NOT(ISNUMBER($G288)),"Vérif. initiale à tracer",IF($H288&lt;0,"En retard",IF(AND($Q288="Location",$S288&lt;&gt;"Oui"),"Rapport loueur à obtenir",IF($H288&lt;='Tableau de bord'!$C$4,"À planifier","À jour"))))))))))))</f>
      </c>
      <c r="J288" s="22">
        <f>IF($A288="","",COUNTIFS(Réserves!$B$2:$B$301,$A288,Réserves!$J$2:$J$301,"Ouverte")+COUNTIFS(Réserves!$B$2:$B$301,$A288,Réserves!$J$2:$J$301,"En retard"))</f>
      </c>
      <c r="K288" s="20">
        <f>IF($C288="","",IFERROR(INDEX('Référentiel'!$B$2:$B$83,MATCH($C288,'Référentiel'!$A$2:$A$83,0)),"Type hors liste"))</f>
      </c>
      <c r="L288" s="22">
        <f>IF($C288="","",IF(IFERROR(INDEX('Référentiel'!$C$2:$C$83,MATCH($C288,'Référentiel'!$A$2:$A$83,0)),0)=0,"",IFERROR(INDEX('Référentiel'!$C$2:$C$83,MATCH($C288,'Référentiel'!$A$2:$A$83,0)),0)))</f>
      </c>
      <c r="M288" s="23"/>
      <c r="N288" s="22">
        <f>IF($C288="","",IF(IF($M288&lt;&gt;"",IF($L288&lt;&gt;"",MIN($L288,$M288),$M288),IF($L288&lt;&gt;"",$L288,IF(IFERROR(INDEX('Référentiel'!$D$2:$D$83,MATCH($C288,'Référentiel'!$A$2:$A$83,0)),0)&gt;0,IFERROR(INDEX('Référentiel'!$D$2:$D$83,MATCH($C288,'Référentiel'!$A$2:$A$83,0)),0),"")))="","",IF(AND(IFERROR(INDEX('Référentiel'!$F$2:$F$83,MATCH($C288,'Référentiel'!$A$2:$A$83,0)),0)&gt;0,N($J288)&gt;0),MIN(IF($M288&lt;&gt;"",IF($L288&lt;&gt;"",MIN($L288,$M288),$M288),IF($L288&lt;&gt;"",$L288,IF(IFERROR(INDEX('Référentiel'!$D$2:$D$83,MATCH($C288,'Référentiel'!$A$2:$A$83,0)),0)&gt;0,IFERROR(INDEX('Référentiel'!$D$2:$D$83,MATCH($C288,'Référentiel'!$A$2:$A$83,0)),0),""))),IFERROR(INDEX('Référentiel'!$F$2:$F$83,MATCH($C288,'Référentiel'!$A$2:$A$83,0)),0)),IF($M288&lt;&gt;"",IF($L288&lt;&gt;"",MIN($L288,$M288),$M288),IF($L288&lt;&gt;"",$L288,IF(IFERROR(INDEX('Référentiel'!$D$2:$D$83,MATCH($C288,'Référentiel'!$A$2:$A$83,0)),0)&gt;0,IFERROR(INDEX('Référentiel'!$D$2:$D$83,MATCH($C288,'Référentiel'!$A$2:$A$83,0)),0),""))))))</f>
      </c>
      <c r="O288" s="9"/>
      <c r="P288" s="23"/>
      <c r="Q288" s="9"/>
      <c r="R288" s="24"/>
      <c r="S288" s="23"/>
      <c r="T288" s="23"/>
      <c r="U288" s="24"/>
      <c r="V288" s="20">
        <f>IF($C288="","",IFERROR(INDEX('Référentiel'!$K$2:$K$83,MATCH($C288,'Référentiel'!$A$2:$A$83,0)),""))</f>
      </c>
      <c r="W288" s="20">
        <f>IF(AND(ISNUMBER($G288),$I288&lt;&gt;"Hors service",$I288&lt;&gt;"Location terminée"),$G288+ROW()/100000,"")</f>
      </c>
      <c r="X288" s="9"/>
    </row>
    <row r="289" spans="1:24" x14ac:dyDescent="0.25">
      <c r="A289" s="9"/>
      <c r="B289" s="9"/>
      <c r="C289" s="9"/>
      <c r="D289" s="9"/>
      <c r="E289" s="19">
        <f>IF($A289="","",IF(SUMPRODUCT(MAX((Vérifications!$B$2:$B$1001=$A289)*Vérifications!$L$2:$L$1001))=0,"",SUMPRODUCT(MAX((Vérifications!$B$2:$B$1001=$A289)*Vérifications!$L$2:$L$1001))))</f>
      </c>
      <c r="F289" s="20">
        <f>IF($E289="","",IFERROR(INDEX(Vérifications!$E$2:$E$1001,MATCH($A289&amp;"|"&amp;$E289,Vérifications!$M$2:$M$1001,0)),""))</f>
      </c>
      <c r="G289" s="19">
        <f>IF($N289="","",IF(ISNUMBER($E289),EDATE($E289,$N289),IF(AND(ISNUMBER($U289),IFERROR(INDEX('Référentiel'!$E$2:$E$83,MATCH($C289,'Référentiel'!$A$2:$A$83,0)),0)&gt;0),EDATE($U289,IFERROR(INDEX('Référentiel'!$E$2:$E$83,MATCH($C289,'Référentiel'!$A$2:$A$83,0)),0)),"")))</f>
      </c>
      <c r="H289" s="21">
        <f>IF(ISNUMBER($G289),$G289-TODAY(),"")</f>
      </c>
      <c r="I289" s="20">
        <f>IF(AND($A289="",$C289=""),"",IF($T289="Non","Hors service",IF(AND($Q289="Location",ISNUMBER($R289),$R289&lt;TODAY()),"Location terminée",IF(OR($F289="Mise à l'arrêt",IF($A289="",0,SUMPRODUCT((Réserves!$B$2:$B$301=$A289)*(Réserves!$E$2:$E$301="Mise à l'arrêt")*(Réserves!$J$2:$J$301&lt;&gt;"Levée")*(Réserves!$J$2:$J$301&lt;&gt;"")))&gt;0),"Arrêt : réserve à lever",IF($C289="","Type à choisir",IF($N289="","Périodicité à saisir",IF(OR(ISTEXT($U289),ISTEXT($R289)),"Date à corriger",IF(AND($E289="",$Q289="Location",$S289&lt;&gt;"Oui"),"Rapport loueur à obtenir",IF(NOT(ISNUMBER($G289)),"Vérif. initiale à tracer",IF($H289&lt;0,"En retard",IF(AND($Q289="Location",$S289&lt;&gt;"Oui"),"Rapport loueur à obtenir",IF($H289&lt;='Tableau de bord'!$C$4,"À planifier","À jour"))))))))))))</f>
      </c>
      <c r="J289" s="22">
        <f>IF($A289="","",COUNTIFS(Réserves!$B$2:$B$301,$A289,Réserves!$J$2:$J$301,"Ouverte")+COUNTIFS(Réserves!$B$2:$B$301,$A289,Réserves!$J$2:$J$301,"En retard"))</f>
      </c>
      <c r="K289" s="20">
        <f>IF($C289="","",IFERROR(INDEX('Référentiel'!$B$2:$B$83,MATCH($C289,'Référentiel'!$A$2:$A$83,0)),"Type hors liste"))</f>
      </c>
      <c r="L289" s="22">
        <f>IF($C289="","",IF(IFERROR(INDEX('Référentiel'!$C$2:$C$83,MATCH($C289,'Référentiel'!$A$2:$A$83,0)),0)=0,"",IFERROR(INDEX('Référentiel'!$C$2:$C$83,MATCH($C289,'Référentiel'!$A$2:$A$83,0)),0)))</f>
      </c>
      <c r="M289" s="23"/>
      <c r="N289" s="22">
        <f>IF($C289="","",IF(IF($M289&lt;&gt;"",IF($L289&lt;&gt;"",MIN($L289,$M289),$M289),IF($L289&lt;&gt;"",$L289,IF(IFERROR(INDEX('Référentiel'!$D$2:$D$83,MATCH($C289,'Référentiel'!$A$2:$A$83,0)),0)&gt;0,IFERROR(INDEX('Référentiel'!$D$2:$D$83,MATCH($C289,'Référentiel'!$A$2:$A$83,0)),0),"")))="","",IF(AND(IFERROR(INDEX('Référentiel'!$F$2:$F$83,MATCH($C289,'Référentiel'!$A$2:$A$83,0)),0)&gt;0,N($J289)&gt;0),MIN(IF($M289&lt;&gt;"",IF($L289&lt;&gt;"",MIN($L289,$M289),$M289),IF($L289&lt;&gt;"",$L289,IF(IFERROR(INDEX('Référentiel'!$D$2:$D$83,MATCH($C289,'Référentiel'!$A$2:$A$83,0)),0)&gt;0,IFERROR(INDEX('Référentiel'!$D$2:$D$83,MATCH($C289,'Référentiel'!$A$2:$A$83,0)),0),""))),IFERROR(INDEX('Référentiel'!$F$2:$F$83,MATCH($C289,'Référentiel'!$A$2:$A$83,0)),0)),IF($M289&lt;&gt;"",IF($L289&lt;&gt;"",MIN($L289,$M289),$M289),IF($L289&lt;&gt;"",$L289,IF(IFERROR(INDEX('Référentiel'!$D$2:$D$83,MATCH($C289,'Référentiel'!$A$2:$A$83,0)),0)&gt;0,IFERROR(INDEX('Référentiel'!$D$2:$D$83,MATCH($C289,'Référentiel'!$A$2:$A$83,0)),0),""))))))</f>
      </c>
      <c r="O289" s="9"/>
      <c r="P289" s="23"/>
      <c r="Q289" s="9"/>
      <c r="R289" s="24"/>
      <c r="S289" s="23"/>
      <c r="T289" s="23"/>
      <c r="U289" s="24"/>
      <c r="V289" s="20">
        <f>IF($C289="","",IFERROR(INDEX('Référentiel'!$K$2:$K$83,MATCH($C289,'Référentiel'!$A$2:$A$83,0)),""))</f>
      </c>
      <c r="W289" s="20">
        <f>IF(AND(ISNUMBER($G289),$I289&lt;&gt;"Hors service",$I289&lt;&gt;"Location terminée"),$G289+ROW()/100000,"")</f>
      </c>
      <c r="X289" s="9"/>
    </row>
    <row r="290" spans="1:24" x14ac:dyDescent="0.25">
      <c r="A290" s="9"/>
      <c r="B290" s="9"/>
      <c r="C290" s="9"/>
      <c r="D290" s="9"/>
      <c r="E290" s="19">
        <f>IF($A290="","",IF(SUMPRODUCT(MAX((Vérifications!$B$2:$B$1001=$A290)*Vérifications!$L$2:$L$1001))=0,"",SUMPRODUCT(MAX((Vérifications!$B$2:$B$1001=$A290)*Vérifications!$L$2:$L$1001))))</f>
      </c>
      <c r="F290" s="20">
        <f>IF($E290="","",IFERROR(INDEX(Vérifications!$E$2:$E$1001,MATCH($A290&amp;"|"&amp;$E290,Vérifications!$M$2:$M$1001,0)),""))</f>
      </c>
      <c r="G290" s="19">
        <f>IF($N290="","",IF(ISNUMBER($E290),EDATE($E290,$N290),IF(AND(ISNUMBER($U290),IFERROR(INDEX('Référentiel'!$E$2:$E$83,MATCH($C290,'Référentiel'!$A$2:$A$83,0)),0)&gt;0),EDATE($U290,IFERROR(INDEX('Référentiel'!$E$2:$E$83,MATCH($C290,'Référentiel'!$A$2:$A$83,0)),0)),"")))</f>
      </c>
      <c r="H290" s="21">
        <f>IF(ISNUMBER($G290),$G290-TODAY(),"")</f>
      </c>
      <c r="I290" s="20">
        <f>IF(AND($A290="",$C290=""),"",IF($T290="Non","Hors service",IF(AND($Q290="Location",ISNUMBER($R290),$R290&lt;TODAY()),"Location terminée",IF(OR($F290="Mise à l'arrêt",IF($A290="",0,SUMPRODUCT((Réserves!$B$2:$B$301=$A290)*(Réserves!$E$2:$E$301="Mise à l'arrêt")*(Réserves!$J$2:$J$301&lt;&gt;"Levée")*(Réserves!$J$2:$J$301&lt;&gt;"")))&gt;0),"Arrêt : réserve à lever",IF($C290="","Type à choisir",IF($N290="","Périodicité à saisir",IF(OR(ISTEXT($U290),ISTEXT($R290)),"Date à corriger",IF(AND($E290="",$Q290="Location",$S290&lt;&gt;"Oui"),"Rapport loueur à obtenir",IF(NOT(ISNUMBER($G290)),"Vérif. initiale à tracer",IF($H290&lt;0,"En retard",IF(AND($Q290="Location",$S290&lt;&gt;"Oui"),"Rapport loueur à obtenir",IF($H290&lt;='Tableau de bord'!$C$4,"À planifier","À jour"))))))))))))</f>
      </c>
      <c r="J290" s="22">
        <f>IF($A290="","",COUNTIFS(Réserves!$B$2:$B$301,$A290,Réserves!$J$2:$J$301,"Ouverte")+COUNTIFS(Réserves!$B$2:$B$301,$A290,Réserves!$J$2:$J$301,"En retard"))</f>
      </c>
      <c r="K290" s="20">
        <f>IF($C290="","",IFERROR(INDEX('Référentiel'!$B$2:$B$83,MATCH($C290,'Référentiel'!$A$2:$A$83,0)),"Type hors liste"))</f>
      </c>
      <c r="L290" s="22">
        <f>IF($C290="","",IF(IFERROR(INDEX('Référentiel'!$C$2:$C$83,MATCH($C290,'Référentiel'!$A$2:$A$83,0)),0)=0,"",IFERROR(INDEX('Référentiel'!$C$2:$C$83,MATCH($C290,'Référentiel'!$A$2:$A$83,0)),0)))</f>
      </c>
      <c r="M290" s="23"/>
      <c r="N290" s="22">
        <f>IF($C290="","",IF(IF($M290&lt;&gt;"",IF($L290&lt;&gt;"",MIN($L290,$M290),$M290),IF($L290&lt;&gt;"",$L290,IF(IFERROR(INDEX('Référentiel'!$D$2:$D$83,MATCH($C290,'Référentiel'!$A$2:$A$83,0)),0)&gt;0,IFERROR(INDEX('Référentiel'!$D$2:$D$83,MATCH($C290,'Référentiel'!$A$2:$A$83,0)),0),"")))="","",IF(AND(IFERROR(INDEX('Référentiel'!$F$2:$F$83,MATCH($C290,'Référentiel'!$A$2:$A$83,0)),0)&gt;0,N($J290)&gt;0),MIN(IF($M290&lt;&gt;"",IF($L290&lt;&gt;"",MIN($L290,$M290),$M290),IF($L290&lt;&gt;"",$L290,IF(IFERROR(INDEX('Référentiel'!$D$2:$D$83,MATCH($C290,'Référentiel'!$A$2:$A$83,0)),0)&gt;0,IFERROR(INDEX('Référentiel'!$D$2:$D$83,MATCH($C290,'Référentiel'!$A$2:$A$83,0)),0),""))),IFERROR(INDEX('Référentiel'!$F$2:$F$83,MATCH($C290,'Référentiel'!$A$2:$A$83,0)),0)),IF($M290&lt;&gt;"",IF($L290&lt;&gt;"",MIN($L290,$M290),$M290),IF($L290&lt;&gt;"",$L290,IF(IFERROR(INDEX('Référentiel'!$D$2:$D$83,MATCH($C290,'Référentiel'!$A$2:$A$83,0)),0)&gt;0,IFERROR(INDEX('Référentiel'!$D$2:$D$83,MATCH($C290,'Référentiel'!$A$2:$A$83,0)),0),""))))))</f>
      </c>
      <c r="O290" s="9"/>
      <c r="P290" s="23"/>
      <c r="Q290" s="9"/>
      <c r="R290" s="24"/>
      <c r="S290" s="23"/>
      <c r="T290" s="23"/>
      <c r="U290" s="24"/>
      <c r="V290" s="20">
        <f>IF($C290="","",IFERROR(INDEX('Référentiel'!$K$2:$K$83,MATCH($C290,'Référentiel'!$A$2:$A$83,0)),""))</f>
      </c>
      <c r="W290" s="20">
        <f>IF(AND(ISNUMBER($G290),$I290&lt;&gt;"Hors service",$I290&lt;&gt;"Location terminée"),$G290+ROW()/100000,"")</f>
      </c>
      <c r="X290" s="9"/>
    </row>
    <row r="291" spans="1:24" x14ac:dyDescent="0.25">
      <c r="A291" s="9"/>
      <c r="B291" s="9"/>
      <c r="C291" s="9"/>
      <c r="D291" s="9"/>
      <c r="E291" s="19">
        <f>IF($A291="","",IF(SUMPRODUCT(MAX((Vérifications!$B$2:$B$1001=$A291)*Vérifications!$L$2:$L$1001))=0,"",SUMPRODUCT(MAX((Vérifications!$B$2:$B$1001=$A291)*Vérifications!$L$2:$L$1001))))</f>
      </c>
      <c r="F291" s="20">
        <f>IF($E291="","",IFERROR(INDEX(Vérifications!$E$2:$E$1001,MATCH($A291&amp;"|"&amp;$E291,Vérifications!$M$2:$M$1001,0)),""))</f>
      </c>
      <c r="G291" s="19">
        <f>IF($N291="","",IF(ISNUMBER($E291),EDATE($E291,$N291),IF(AND(ISNUMBER($U291),IFERROR(INDEX('Référentiel'!$E$2:$E$83,MATCH($C291,'Référentiel'!$A$2:$A$83,0)),0)&gt;0),EDATE($U291,IFERROR(INDEX('Référentiel'!$E$2:$E$83,MATCH($C291,'Référentiel'!$A$2:$A$83,0)),0)),"")))</f>
      </c>
      <c r="H291" s="21">
        <f>IF(ISNUMBER($G291),$G291-TODAY(),"")</f>
      </c>
      <c r="I291" s="20">
        <f>IF(AND($A291="",$C291=""),"",IF($T291="Non","Hors service",IF(AND($Q291="Location",ISNUMBER($R291),$R291&lt;TODAY()),"Location terminée",IF(OR($F291="Mise à l'arrêt",IF($A291="",0,SUMPRODUCT((Réserves!$B$2:$B$301=$A291)*(Réserves!$E$2:$E$301="Mise à l'arrêt")*(Réserves!$J$2:$J$301&lt;&gt;"Levée")*(Réserves!$J$2:$J$301&lt;&gt;"")))&gt;0),"Arrêt : réserve à lever",IF($C291="","Type à choisir",IF($N291="","Périodicité à saisir",IF(OR(ISTEXT($U291),ISTEXT($R291)),"Date à corriger",IF(AND($E291="",$Q291="Location",$S291&lt;&gt;"Oui"),"Rapport loueur à obtenir",IF(NOT(ISNUMBER($G291)),"Vérif. initiale à tracer",IF($H291&lt;0,"En retard",IF(AND($Q291="Location",$S291&lt;&gt;"Oui"),"Rapport loueur à obtenir",IF($H291&lt;='Tableau de bord'!$C$4,"À planifier","À jour"))))))))))))</f>
      </c>
      <c r="J291" s="22">
        <f>IF($A291="","",COUNTIFS(Réserves!$B$2:$B$301,$A291,Réserves!$J$2:$J$301,"Ouverte")+COUNTIFS(Réserves!$B$2:$B$301,$A291,Réserves!$J$2:$J$301,"En retard"))</f>
      </c>
      <c r="K291" s="20">
        <f>IF($C291="","",IFERROR(INDEX('Référentiel'!$B$2:$B$83,MATCH($C291,'Référentiel'!$A$2:$A$83,0)),"Type hors liste"))</f>
      </c>
      <c r="L291" s="22">
        <f>IF($C291="","",IF(IFERROR(INDEX('Référentiel'!$C$2:$C$83,MATCH($C291,'Référentiel'!$A$2:$A$83,0)),0)=0,"",IFERROR(INDEX('Référentiel'!$C$2:$C$83,MATCH($C291,'Référentiel'!$A$2:$A$83,0)),0)))</f>
      </c>
      <c r="M291" s="23"/>
      <c r="N291" s="22">
        <f>IF($C291="","",IF(IF($M291&lt;&gt;"",IF($L291&lt;&gt;"",MIN($L291,$M291),$M291),IF($L291&lt;&gt;"",$L291,IF(IFERROR(INDEX('Référentiel'!$D$2:$D$83,MATCH($C291,'Référentiel'!$A$2:$A$83,0)),0)&gt;0,IFERROR(INDEX('Référentiel'!$D$2:$D$83,MATCH($C291,'Référentiel'!$A$2:$A$83,0)),0),"")))="","",IF(AND(IFERROR(INDEX('Référentiel'!$F$2:$F$83,MATCH($C291,'Référentiel'!$A$2:$A$83,0)),0)&gt;0,N($J291)&gt;0),MIN(IF($M291&lt;&gt;"",IF($L291&lt;&gt;"",MIN($L291,$M291),$M291),IF($L291&lt;&gt;"",$L291,IF(IFERROR(INDEX('Référentiel'!$D$2:$D$83,MATCH($C291,'Référentiel'!$A$2:$A$83,0)),0)&gt;0,IFERROR(INDEX('Référentiel'!$D$2:$D$83,MATCH($C291,'Référentiel'!$A$2:$A$83,0)),0),""))),IFERROR(INDEX('Référentiel'!$F$2:$F$83,MATCH($C291,'Référentiel'!$A$2:$A$83,0)),0)),IF($M291&lt;&gt;"",IF($L291&lt;&gt;"",MIN($L291,$M291),$M291),IF($L291&lt;&gt;"",$L291,IF(IFERROR(INDEX('Référentiel'!$D$2:$D$83,MATCH($C291,'Référentiel'!$A$2:$A$83,0)),0)&gt;0,IFERROR(INDEX('Référentiel'!$D$2:$D$83,MATCH($C291,'Référentiel'!$A$2:$A$83,0)),0),""))))))</f>
      </c>
      <c r="O291" s="9"/>
      <c r="P291" s="23"/>
      <c r="Q291" s="9"/>
      <c r="R291" s="24"/>
      <c r="S291" s="23"/>
      <c r="T291" s="23"/>
      <c r="U291" s="24"/>
      <c r="V291" s="20">
        <f>IF($C291="","",IFERROR(INDEX('Référentiel'!$K$2:$K$83,MATCH($C291,'Référentiel'!$A$2:$A$83,0)),""))</f>
      </c>
      <c r="W291" s="20">
        <f>IF(AND(ISNUMBER($G291),$I291&lt;&gt;"Hors service",$I291&lt;&gt;"Location terminée"),$G291+ROW()/100000,"")</f>
      </c>
      <c r="X291" s="9"/>
    </row>
    <row r="292" spans="1:24" x14ac:dyDescent="0.25">
      <c r="A292" s="9"/>
      <c r="B292" s="9"/>
      <c r="C292" s="9"/>
      <c r="D292" s="9"/>
      <c r="E292" s="19">
        <f>IF($A292="","",IF(SUMPRODUCT(MAX((Vérifications!$B$2:$B$1001=$A292)*Vérifications!$L$2:$L$1001))=0,"",SUMPRODUCT(MAX((Vérifications!$B$2:$B$1001=$A292)*Vérifications!$L$2:$L$1001))))</f>
      </c>
      <c r="F292" s="20">
        <f>IF($E292="","",IFERROR(INDEX(Vérifications!$E$2:$E$1001,MATCH($A292&amp;"|"&amp;$E292,Vérifications!$M$2:$M$1001,0)),""))</f>
      </c>
      <c r="G292" s="19">
        <f>IF($N292="","",IF(ISNUMBER($E292),EDATE($E292,$N292),IF(AND(ISNUMBER($U292),IFERROR(INDEX('Référentiel'!$E$2:$E$83,MATCH($C292,'Référentiel'!$A$2:$A$83,0)),0)&gt;0),EDATE($U292,IFERROR(INDEX('Référentiel'!$E$2:$E$83,MATCH($C292,'Référentiel'!$A$2:$A$83,0)),0)),"")))</f>
      </c>
      <c r="H292" s="21">
        <f>IF(ISNUMBER($G292),$G292-TODAY(),"")</f>
      </c>
      <c r="I292" s="20">
        <f>IF(AND($A292="",$C292=""),"",IF($T292="Non","Hors service",IF(AND($Q292="Location",ISNUMBER($R292),$R292&lt;TODAY()),"Location terminée",IF(OR($F292="Mise à l'arrêt",IF($A292="",0,SUMPRODUCT((Réserves!$B$2:$B$301=$A292)*(Réserves!$E$2:$E$301="Mise à l'arrêt")*(Réserves!$J$2:$J$301&lt;&gt;"Levée")*(Réserves!$J$2:$J$301&lt;&gt;"")))&gt;0),"Arrêt : réserve à lever",IF($C292="","Type à choisir",IF($N292="","Périodicité à saisir",IF(OR(ISTEXT($U292),ISTEXT($R292)),"Date à corriger",IF(AND($E292="",$Q292="Location",$S292&lt;&gt;"Oui"),"Rapport loueur à obtenir",IF(NOT(ISNUMBER($G292)),"Vérif. initiale à tracer",IF($H292&lt;0,"En retard",IF(AND($Q292="Location",$S292&lt;&gt;"Oui"),"Rapport loueur à obtenir",IF($H292&lt;='Tableau de bord'!$C$4,"À planifier","À jour"))))))))))))</f>
      </c>
      <c r="J292" s="22">
        <f>IF($A292="","",COUNTIFS(Réserves!$B$2:$B$301,$A292,Réserves!$J$2:$J$301,"Ouverte")+COUNTIFS(Réserves!$B$2:$B$301,$A292,Réserves!$J$2:$J$301,"En retard"))</f>
      </c>
      <c r="K292" s="20">
        <f>IF($C292="","",IFERROR(INDEX('Référentiel'!$B$2:$B$83,MATCH($C292,'Référentiel'!$A$2:$A$83,0)),"Type hors liste"))</f>
      </c>
      <c r="L292" s="22">
        <f>IF($C292="","",IF(IFERROR(INDEX('Référentiel'!$C$2:$C$83,MATCH($C292,'Référentiel'!$A$2:$A$83,0)),0)=0,"",IFERROR(INDEX('Référentiel'!$C$2:$C$83,MATCH($C292,'Référentiel'!$A$2:$A$83,0)),0)))</f>
      </c>
      <c r="M292" s="23"/>
      <c r="N292" s="22">
        <f>IF($C292="","",IF(IF($M292&lt;&gt;"",IF($L292&lt;&gt;"",MIN($L292,$M292),$M292),IF($L292&lt;&gt;"",$L292,IF(IFERROR(INDEX('Référentiel'!$D$2:$D$83,MATCH($C292,'Référentiel'!$A$2:$A$83,0)),0)&gt;0,IFERROR(INDEX('Référentiel'!$D$2:$D$83,MATCH($C292,'Référentiel'!$A$2:$A$83,0)),0),"")))="","",IF(AND(IFERROR(INDEX('Référentiel'!$F$2:$F$83,MATCH($C292,'Référentiel'!$A$2:$A$83,0)),0)&gt;0,N($J292)&gt;0),MIN(IF($M292&lt;&gt;"",IF($L292&lt;&gt;"",MIN($L292,$M292),$M292),IF($L292&lt;&gt;"",$L292,IF(IFERROR(INDEX('Référentiel'!$D$2:$D$83,MATCH($C292,'Référentiel'!$A$2:$A$83,0)),0)&gt;0,IFERROR(INDEX('Référentiel'!$D$2:$D$83,MATCH($C292,'Référentiel'!$A$2:$A$83,0)),0),""))),IFERROR(INDEX('Référentiel'!$F$2:$F$83,MATCH($C292,'Référentiel'!$A$2:$A$83,0)),0)),IF($M292&lt;&gt;"",IF($L292&lt;&gt;"",MIN($L292,$M292),$M292),IF($L292&lt;&gt;"",$L292,IF(IFERROR(INDEX('Référentiel'!$D$2:$D$83,MATCH($C292,'Référentiel'!$A$2:$A$83,0)),0)&gt;0,IFERROR(INDEX('Référentiel'!$D$2:$D$83,MATCH($C292,'Référentiel'!$A$2:$A$83,0)),0),""))))))</f>
      </c>
      <c r="O292" s="9"/>
      <c r="P292" s="23"/>
      <c r="Q292" s="9"/>
      <c r="R292" s="24"/>
      <c r="S292" s="23"/>
      <c r="T292" s="23"/>
      <c r="U292" s="24"/>
      <c r="V292" s="20">
        <f>IF($C292="","",IFERROR(INDEX('Référentiel'!$K$2:$K$83,MATCH($C292,'Référentiel'!$A$2:$A$83,0)),""))</f>
      </c>
      <c r="W292" s="20">
        <f>IF(AND(ISNUMBER($G292),$I292&lt;&gt;"Hors service",$I292&lt;&gt;"Location terminée"),$G292+ROW()/100000,"")</f>
      </c>
      <c r="X292" s="9"/>
    </row>
    <row r="293" spans="1:24" x14ac:dyDescent="0.25">
      <c r="A293" s="9"/>
      <c r="B293" s="9"/>
      <c r="C293" s="9"/>
      <c r="D293" s="9"/>
      <c r="E293" s="19">
        <f>IF($A293="","",IF(SUMPRODUCT(MAX((Vérifications!$B$2:$B$1001=$A293)*Vérifications!$L$2:$L$1001))=0,"",SUMPRODUCT(MAX((Vérifications!$B$2:$B$1001=$A293)*Vérifications!$L$2:$L$1001))))</f>
      </c>
      <c r="F293" s="20">
        <f>IF($E293="","",IFERROR(INDEX(Vérifications!$E$2:$E$1001,MATCH($A293&amp;"|"&amp;$E293,Vérifications!$M$2:$M$1001,0)),""))</f>
      </c>
      <c r="G293" s="19">
        <f>IF($N293="","",IF(ISNUMBER($E293),EDATE($E293,$N293),IF(AND(ISNUMBER($U293),IFERROR(INDEX('Référentiel'!$E$2:$E$83,MATCH($C293,'Référentiel'!$A$2:$A$83,0)),0)&gt;0),EDATE($U293,IFERROR(INDEX('Référentiel'!$E$2:$E$83,MATCH($C293,'Référentiel'!$A$2:$A$83,0)),0)),"")))</f>
      </c>
      <c r="H293" s="21">
        <f>IF(ISNUMBER($G293),$G293-TODAY(),"")</f>
      </c>
      <c r="I293" s="20">
        <f>IF(AND($A293="",$C293=""),"",IF($T293="Non","Hors service",IF(AND($Q293="Location",ISNUMBER($R293),$R293&lt;TODAY()),"Location terminée",IF(OR($F293="Mise à l'arrêt",IF($A293="",0,SUMPRODUCT((Réserves!$B$2:$B$301=$A293)*(Réserves!$E$2:$E$301="Mise à l'arrêt")*(Réserves!$J$2:$J$301&lt;&gt;"Levée")*(Réserves!$J$2:$J$301&lt;&gt;"")))&gt;0),"Arrêt : réserve à lever",IF($C293="","Type à choisir",IF($N293="","Périodicité à saisir",IF(OR(ISTEXT($U293),ISTEXT($R293)),"Date à corriger",IF(AND($E293="",$Q293="Location",$S293&lt;&gt;"Oui"),"Rapport loueur à obtenir",IF(NOT(ISNUMBER($G293)),"Vérif. initiale à tracer",IF($H293&lt;0,"En retard",IF(AND($Q293="Location",$S293&lt;&gt;"Oui"),"Rapport loueur à obtenir",IF($H293&lt;='Tableau de bord'!$C$4,"À planifier","À jour"))))))))))))</f>
      </c>
      <c r="J293" s="22">
        <f>IF($A293="","",COUNTIFS(Réserves!$B$2:$B$301,$A293,Réserves!$J$2:$J$301,"Ouverte")+COUNTIFS(Réserves!$B$2:$B$301,$A293,Réserves!$J$2:$J$301,"En retard"))</f>
      </c>
      <c r="K293" s="20">
        <f>IF($C293="","",IFERROR(INDEX('Référentiel'!$B$2:$B$83,MATCH($C293,'Référentiel'!$A$2:$A$83,0)),"Type hors liste"))</f>
      </c>
      <c r="L293" s="22">
        <f>IF($C293="","",IF(IFERROR(INDEX('Référentiel'!$C$2:$C$83,MATCH($C293,'Référentiel'!$A$2:$A$83,0)),0)=0,"",IFERROR(INDEX('Référentiel'!$C$2:$C$83,MATCH($C293,'Référentiel'!$A$2:$A$83,0)),0)))</f>
      </c>
      <c r="M293" s="23"/>
      <c r="N293" s="22">
        <f>IF($C293="","",IF(IF($M293&lt;&gt;"",IF($L293&lt;&gt;"",MIN($L293,$M293),$M293),IF($L293&lt;&gt;"",$L293,IF(IFERROR(INDEX('Référentiel'!$D$2:$D$83,MATCH($C293,'Référentiel'!$A$2:$A$83,0)),0)&gt;0,IFERROR(INDEX('Référentiel'!$D$2:$D$83,MATCH($C293,'Référentiel'!$A$2:$A$83,0)),0),"")))="","",IF(AND(IFERROR(INDEX('Référentiel'!$F$2:$F$83,MATCH($C293,'Référentiel'!$A$2:$A$83,0)),0)&gt;0,N($J293)&gt;0),MIN(IF($M293&lt;&gt;"",IF($L293&lt;&gt;"",MIN($L293,$M293),$M293),IF($L293&lt;&gt;"",$L293,IF(IFERROR(INDEX('Référentiel'!$D$2:$D$83,MATCH($C293,'Référentiel'!$A$2:$A$83,0)),0)&gt;0,IFERROR(INDEX('Référentiel'!$D$2:$D$83,MATCH($C293,'Référentiel'!$A$2:$A$83,0)),0),""))),IFERROR(INDEX('Référentiel'!$F$2:$F$83,MATCH($C293,'Référentiel'!$A$2:$A$83,0)),0)),IF($M293&lt;&gt;"",IF($L293&lt;&gt;"",MIN($L293,$M293),$M293),IF($L293&lt;&gt;"",$L293,IF(IFERROR(INDEX('Référentiel'!$D$2:$D$83,MATCH($C293,'Référentiel'!$A$2:$A$83,0)),0)&gt;0,IFERROR(INDEX('Référentiel'!$D$2:$D$83,MATCH($C293,'Référentiel'!$A$2:$A$83,0)),0),""))))))</f>
      </c>
      <c r="O293" s="9"/>
      <c r="P293" s="23"/>
      <c r="Q293" s="9"/>
      <c r="R293" s="24"/>
      <c r="S293" s="23"/>
      <c r="T293" s="23"/>
      <c r="U293" s="24"/>
      <c r="V293" s="20">
        <f>IF($C293="","",IFERROR(INDEX('Référentiel'!$K$2:$K$83,MATCH($C293,'Référentiel'!$A$2:$A$83,0)),""))</f>
      </c>
      <c r="W293" s="20">
        <f>IF(AND(ISNUMBER($G293),$I293&lt;&gt;"Hors service",$I293&lt;&gt;"Location terminée"),$G293+ROW()/100000,"")</f>
      </c>
      <c r="X293" s="9"/>
    </row>
    <row r="294" spans="1:24" x14ac:dyDescent="0.25">
      <c r="A294" s="9"/>
      <c r="B294" s="9"/>
      <c r="C294" s="9"/>
      <c r="D294" s="9"/>
      <c r="E294" s="19">
        <f>IF($A294="","",IF(SUMPRODUCT(MAX((Vérifications!$B$2:$B$1001=$A294)*Vérifications!$L$2:$L$1001))=0,"",SUMPRODUCT(MAX((Vérifications!$B$2:$B$1001=$A294)*Vérifications!$L$2:$L$1001))))</f>
      </c>
      <c r="F294" s="20">
        <f>IF($E294="","",IFERROR(INDEX(Vérifications!$E$2:$E$1001,MATCH($A294&amp;"|"&amp;$E294,Vérifications!$M$2:$M$1001,0)),""))</f>
      </c>
      <c r="G294" s="19">
        <f>IF($N294="","",IF(ISNUMBER($E294),EDATE($E294,$N294),IF(AND(ISNUMBER($U294),IFERROR(INDEX('Référentiel'!$E$2:$E$83,MATCH($C294,'Référentiel'!$A$2:$A$83,0)),0)&gt;0),EDATE($U294,IFERROR(INDEX('Référentiel'!$E$2:$E$83,MATCH($C294,'Référentiel'!$A$2:$A$83,0)),0)),"")))</f>
      </c>
      <c r="H294" s="21">
        <f>IF(ISNUMBER($G294),$G294-TODAY(),"")</f>
      </c>
      <c r="I294" s="20">
        <f>IF(AND($A294="",$C294=""),"",IF($T294="Non","Hors service",IF(AND($Q294="Location",ISNUMBER($R294),$R294&lt;TODAY()),"Location terminée",IF(OR($F294="Mise à l'arrêt",IF($A294="",0,SUMPRODUCT((Réserves!$B$2:$B$301=$A294)*(Réserves!$E$2:$E$301="Mise à l'arrêt")*(Réserves!$J$2:$J$301&lt;&gt;"Levée")*(Réserves!$J$2:$J$301&lt;&gt;"")))&gt;0),"Arrêt : réserve à lever",IF($C294="","Type à choisir",IF($N294="","Périodicité à saisir",IF(OR(ISTEXT($U294),ISTEXT($R294)),"Date à corriger",IF(AND($E294="",$Q294="Location",$S294&lt;&gt;"Oui"),"Rapport loueur à obtenir",IF(NOT(ISNUMBER($G294)),"Vérif. initiale à tracer",IF($H294&lt;0,"En retard",IF(AND($Q294="Location",$S294&lt;&gt;"Oui"),"Rapport loueur à obtenir",IF($H294&lt;='Tableau de bord'!$C$4,"À planifier","À jour"))))))))))))</f>
      </c>
      <c r="J294" s="22">
        <f>IF($A294="","",COUNTIFS(Réserves!$B$2:$B$301,$A294,Réserves!$J$2:$J$301,"Ouverte")+COUNTIFS(Réserves!$B$2:$B$301,$A294,Réserves!$J$2:$J$301,"En retard"))</f>
      </c>
      <c r="K294" s="20">
        <f>IF($C294="","",IFERROR(INDEX('Référentiel'!$B$2:$B$83,MATCH($C294,'Référentiel'!$A$2:$A$83,0)),"Type hors liste"))</f>
      </c>
      <c r="L294" s="22">
        <f>IF($C294="","",IF(IFERROR(INDEX('Référentiel'!$C$2:$C$83,MATCH($C294,'Référentiel'!$A$2:$A$83,0)),0)=0,"",IFERROR(INDEX('Référentiel'!$C$2:$C$83,MATCH($C294,'Référentiel'!$A$2:$A$83,0)),0)))</f>
      </c>
      <c r="M294" s="23"/>
      <c r="N294" s="22">
        <f>IF($C294="","",IF(IF($M294&lt;&gt;"",IF($L294&lt;&gt;"",MIN($L294,$M294),$M294),IF($L294&lt;&gt;"",$L294,IF(IFERROR(INDEX('Référentiel'!$D$2:$D$83,MATCH($C294,'Référentiel'!$A$2:$A$83,0)),0)&gt;0,IFERROR(INDEX('Référentiel'!$D$2:$D$83,MATCH($C294,'Référentiel'!$A$2:$A$83,0)),0),"")))="","",IF(AND(IFERROR(INDEX('Référentiel'!$F$2:$F$83,MATCH($C294,'Référentiel'!$A$2:$A$83,0)),0)&gt;0,N($J294)&gt;0),MIN(IF($M294&lt;&gt;"",IF($L294&lt;&gt;"",MIN($L294,$M294),$M294),IF($L294&lt;&gt;"",$L294,IF(IFERROR(INDEX('Référentiel'!$D$2:$D$83,MATCH($C294,'Référentiel'!$A$2:$A$83,0)),0)&gt;0,IFERROR(INDEX('Référentiel'!$D$2:$D$83,MATCH($C294,'Référentiel'!$A$2:$A$83,0)),0),""))),IFERROR(INDEX('Référentiel'!$F$2:$F$83,MATCH($C294,'Référentiel'!$A$2:$A$83,0)),0)),IF($M294&lt;&gt;"",IF($L294&lt;&gt;"",MIN($L294,$M294),$M294),IF($L294&lt;&gt;"",$L294,IF(IFERROR(INDEX('Référentiel'!$D$2:$D$83,MATCH($C294,'Référentiel'!$A$2:$A$83,0)),0)&gt;0,IFERROR(INDEX('Référentiel'!$D$2:$D$83,MATCH($C294,'Référentiel'!$A$2:$A$83,0)),0),""))))))</f>
      </c>
      <c r="O294" s="9"/>
      <c r="P294" s="23"/>
      <c r="Q294" s="9"/>
      <c r="R294" s="24"/>
      <c r="S294" s="23"/>
      <c r="T294" s="23"/>
      <c r="U294" s="24"/>
      <c r="V294" s="20">
        <f>IF($C294="","",IFERROR(INDEX('Référentiel'!$K$2:$K$83,MATCH($C294,'Référentiel'!$A$2:$A$83,0)),""))</f>
      </c>
      <c r="W294" s="20">
        <f>IF(AND(ISNUMBER($G294),$I294&lt;&gt;"Hors service",$I294&lt;&gt;"Location terminée"),$G294+ROW()/100000,"")</f>
      </c>
      <c r="X294" s="9"/>
    </row>
    <row r="295" spans="1:24" x14ac:dyDescent="0.25">
      <c r="A295" s="9"/>
      <c r="B295" s="9"/>
      <c r="C295" s="9"/>
      <c r="D295" s="9"/>
      <c r="E295" s="19">
        <f>IF($A295="","",IF(SUMPRODUCT(MAX((Vérifications!$B$2:$B$1001=$A295)*Vérifications!$L$2:$L$1001))=0,"",SUMPRODUCT(MAX((Vérifications!$B$2:$B$1001=$A295)*Vérifications!$L$2:$L$1001))))</f>
      </c>
      <c r="F295" s="20">
        <f>IF($E295="","",IFERROR(INDEX(Vérifications!$E$2:$E$1001,MATCH($A295&amp;"|"&amp;$E295,Vérifications!$M$2:$M$1001,0)),""))</f>
      </c>
      <c r="G295" s="19">
        <f>IF($N295="","",IF(ISNUMBER($E295),EDATE($E295,$N295),IF(AND(ISNUMBER($U295),IFERROR(INDEX('Référentiel'!$E$2:$E$83,MATCH($C295,'Référentiel'!$A$2:$A$83,0)),0)&gt;0),EDATE($U295,IFERROR(INDEX('Référentiel'!$E$2:$E$83,MATCH($C295,'Référentiel'!$A$2:$A$83,0)),0)),"")))</f>
      </c>
      <c r="H295" s="21">
        <f>IF(ISNUMBER($G295),$G295-TODAY(),"")</f>
      </c>
      <c r="I295" s="20">
        <f>IF(AND($A295="",$C295=""),"",IF($T295="Non","Hors service",IF(AND($Q295="Location",ISNUMBER($R295),$R295&lt;TODAY()),"Location terminée",IF(OR($F295="Mise à l'arrêt",IF($A295="",0,SUMPRODUCT((Réserves!$B$2:$B$301=$A295)*(Réserves!$E$2:$E$301="Mise à l'arrêt")*(Réserves!$J$2:$J$301&lt;&gt;"Levée")*(Réserves!$J$2:$J$301&lt;&gt;"")))&gt;0),"Arrêt : réserve à lever",IF($C295="","Type à choisir",IF($N295="","Périodicité à saisir",IF(OR(ISTEXT($U295),ISTEXT($R295)),"Date à corriger",IF(AND($E295="",$Q295="Location",$S295&lt;&gt;"Oui"),"Rapport loueur à obtenir",IF(NOT(ISNUMBER($G295)),"Vérif. initiale à tracer",IF($H295&lt;0,"En retard",IF(AND($Q295="Location",$S295&lt;&gt;"Oui"),"Rapport loueur à obtenir",IF($H295&lt;='Tableau de bord'!$C$4,"À planifier","À jour"))))))))))))</f>
      </c>
      <c r="J295" s="22">
        <f>IF($A295="","",COUNTIFS(Réserves!$B$2:$B$301,$A295,Réserves!$J$2:$J$301,"Ouverte")+COUNTIFS(Réserves!$B$2:$B$301,$A295,Réserves!$J$2:$J$301,"En retard"))</f>
      </c>
      <c r="K295" s="20">
        <f>IF($C295="","",IFERROR(INDEX('Référentiel'!$B$2:$B$83,MATCH($C295,'Référentiel'!$A$2:$A$83,0)),"Type hors liste"))</f>
      </c>
      <c r="L295" s="22">
        <f>IF($C295="","",IF(IFERROR(INDEX('Référentiel'!$C$2:$C$83,MATCH($C295,'Référentiel'!$A$2:$A$83,0)),0)=0,"",IFERROR(INDEX('Référentiel'!$C$2:$C$83,MATCH($C295,'Référentiel'!$A$2:$A$83,0)),0)))</f>
      </c>
      <c r="M295" s="23"/>
      <c r="N295" s="22">
        <f>IF($C295="","",IF(IF($M295&lt;&gt;"",IF($L295&lt;&gt;"",MIN($L295,$M295),$M295),IF($L295&lt;&gt;"",$L295,IF(IFERROR(INDEX('Référentiel'!$D$2:$D$83,MATCH($C295,'Référentiel'!$A$2:$A$83,0)),0)&gt;0,IFERROR(INDEX('Référentiel'!$D$2:$D$83,MATCH($C295,'Référentiel'!$A$2:$A$83,0)),0),"")))="","",IF(AND(IFERROR(INDEX('Référentiel'!$F$2:$F$83,MATCH($C295,'Référentiel'!$A$2:$A$83,0)),0)&gt;0,N($J295)&gt;0),MIN(IF($M295&lt;&gt;"",IF($L295&lt;&gt;"",MIN($L295,$M295),$M295),IF($L295&lt;&gt;"",$L295,IF(IFERROR(INDEX('Référentiel'!$D$2:$D$83,MATCH($C295,'Référentiel'!$A$2:$A$83,0)),0)&gt;0,IFERROR(INDEX('Référentiel'!$D$2:$D$83,MATCH($C295,'Référentiel'!$A$2:$A$83,0)),0),""))),IFERROR(INDEX('Référentiel'!$F$2:$F$83,MATCH($C295,'Référentiel'!$A$2:$A$83,0)),0)),IF($M295&lt;&gt;"",IF($L295&lt;&gt;"",MIN($L295,$M295),$M295),IF($L295&lt;&gt;"",$L295,IF(IFERROR(INDEX('Référentiel'!$D$2:$D$83,MATCH($C295,'Référentiel'!$A$2:$A$83,0)),0)&gt;0,IFERROR(INDEX('Référentiel'!$D$2:$D$83,MATCH($C295,'Référentiel'!$A$2:$A$83,0)),0),""))))))</f>
      </c>
      <c r="O295" s="9"/>
      <c r="P295" s="23"/>
      <c r="Q295" s="9"/>
      <c r="R295" s="24"/>
      <c r="S295" s="23"/>
      <c r="T295" s="23"/>
      <c r="U295" s="24"/>
      <c r="V295" s="20">
        <f>IF($C295="","",IFERROR(INDEX('Référentiel'!$K$2:$K$83,MATCH($C295,'Référentiel'!$A$2:$A$83,0)),""))</f>
      </c>
      <c r="W295" s="20">
        <f>IF(AND(ISNUMBER($G295),$I295&lt;&gt;"Hors service",$I295&lt;&gt;"Location terminée"),$G295+ROW()/100000,"")</f>
      </c>
      <c r="X295" s="9"/>
    </row>
    <row r="296" spans="1:24" x14ac:dyDescent="0.25">
      <c r="A296" s="9"/>
      <c r="B296" s="9"/>
      <c r="C296" s="9"/>
      <c r="D296" s="9"/>
      <c r="E296" s="19">
        <f>IF($A296="","",IF(SUMPRODUCT(MAX((Vérifications!$B$2:$B$1001=$A296)*Vérifications!$L$2:$L$1001))=0,"",SUMPRODUCT(MAX((Vérifications!$B$2:$B$1001=$A296)*Vérifications!$L$2:$L$1001))))</f>
      </c>
      <c r="F296" s="20">
        <f>IF($E296="","",IFERROR(INDEX(Vérifications!$E$2:$E$1001,MATCH($A296&amp;"|"&amp;$E296,Vérifications!$M$2:$M$1001,0)),""))</f>
      </c>
      <c r="G296" s="19">
        <f>IF($N296="","",IF(ISNUMBER($E296),EDATE($E296,$N296),IF(AND(ISNUMBER($U296),IFERROR(INDEX('Référentiel'!$E$2:$E$83,MATCH($C296,'Référentiel'!$A$2:$A$83,0)),0)&gt;0),EDATE($U296,IFERROR(INDEX('Référentiel'!$E$2:$E$83,MATCH($C296,'Référentiel'!$A$2:$A$83,0)),0)),"")))</f>
      </c>
      <c r="H296" s="21">
        <f>IF(ISNUMBER($G296),$G296-TODAY(),"")</f>
      </c>
      <c r="I296" s="20">
        <f>IF(AND($A296="",$C296=""),"",IF($T296="Non","Hors service",IF(AND($Q296="Location",ISNUMBER($R296),$R296&lt;TODAY()),"Location terminée",IF(OR($F296="Mise à l'arrêt",IF($A296="",0,SUMPRODUCT((Réserves!$B$2:$B$301=$A296)*(Réserves!$E$2:$E$301="Mise à l'arrêt")*(Réserves!$J$2:$J$301&lt;&gt;"Levée")*(Réserves!$J$2:$J$301&lt;&gt;"")))&gt;0),"Arrêt : réserve à lever",IF($C296="","Type à choisir",IF($N296="","Périodicité à saisir",IF(OR(ISTEXT($U296),ISTEXT($R296)),"Date à corriger",IF(AND($E296="",$Q296="Location",$S296&lt;&gt;"Oui"),"Rapport loueur à obtenir",IF(NOT(ISNUMBER($G296)),"Vérif. initiale à tracer",IF($H296&lt;0,"En retard",IF(AND($Q296="Location",$S296&lt;&gt;"Oui"),"Rapport loueur à obtenir",IF($H296&lt;='Tableau de bord'!$C$4,"À planifier","À jour"))))))))))))</f>
      </c>
      <c r="J296" s="22">
        <f>IF($A296="","",COUNTIFS(Réserves!$B$2:$B$301,$A296,Réserves!$J$2:$J$301,"Ouverte")+COUNTIFS(Réserves!$B$2:$B$301,$A296,Réserves!$J$2:$J$301,"En retard"))</f>
      </c>
      <c r="K296" s="20">
        <f>IF($C296="","",IFERROR(INDEX('Référentiel'!$B$2:$B$83,MATCH($C296,'Référentiel'!$A$2:$A$83,0)),"Type hors liste"))</f>
      </c>
      <c r="L296" s="22">
        <f>IF($C296="","",IF(IFERROR(INDEX('Référentiel'!$C$2:$C$83,MATCH($C296,'Référentiel'!$A$2:$A$83,0)),0)=0,"",IFERROR(INDEX('Référentiel'!$C$2:$C$83,MATCH($C296,'Référentiel'!$A$2:$A$83,0)),0)))</f>
      </c>
      <c r="M296" s="23"/>
      <c r="N296" s="22">
        <f>IF($C296="","",IF(IF($M296&lt;&gt;"",IF($L296&lt;&gt;"",MIN($L296,$M296),$M296),IF($L296&lt;&gt;"",$L296,IF(IFERROR(INDEX('Référentiel'!$D$2:$D$83,MATCH($C296,'Référentiel'!$A$2:$A$83,0)),0)&gt;0,IFERROR(INDEX('Référentiel'!$D$2:$D$83,MATCH($C296,'Référentiel'!$A$2:$A$83,0)),0),"")))="","",IF(AND(IFERROR(INDEX('Référentiel'!$F$2:$F$83,MATCH($C296,'Référentiel'!$A$2:$A$83,0)),0)&gt;0,N($J296)&gt;0),MIN(IF($M296&lt;&gt;"",IF($L296&lt;&gt;"",MIN($L296,$M296),$M296),IF($L296&lt;&gt;"",$L296,IF(IFERROR(INDEX('Référentiel'!$D$2:$D$83,MATCH($C296,'Référentiel'!$A$2:$A$83,0)),0)&gt;0,IFERROR(INDEX('Référentiel'!$D$2:$D$83,MATCH($C296,'Référentiel'!$A$2:$A$83,0)),0),""))),IFERROR(INDEX('Référentiel'!$F$2:$F$83,MATCH($C296,'Référentiel'!$A$2:$A$83,0)),0)),IF($M296&lt;&gt;"",IF($L296&lt;&gt;"",MIN($L296,$M296),$M296),IF($L296&lt;&gt;"",$L296,IF(IFERROR(INDEX('Référentiel'!$D$2:$D$83,MATCH($C296,'Référentiel'!$A$2:$A$83,0)),0)&gt;0,IFERROR(INDEX('Référentiel'!$D$2:$D$83,MATCH($C296,'Référentiel'!$A$2:$A$83,0)),0),""))))))</f>
      </c>
      <c r="O296" s="9"/>
      <c r="P296" s="23"/>
      <c r="Q296" s="9"/>
      <c r="R296" s="24"/>
      <c r="S296" s="23"/>
      <c r="T296" s="23"/>
      <c r="U296" s="24"/>
      <c r="V296" s="20">
        <f>IF($C296="","",IFERROR(INDEX('Référentiel'!$K$2:$K$83,MATCH($C296,'Référentiel'!$A$2:$A$83,0)),""))</f>
      </c>
      <c r="W296" s="20">
        <f>IF(AND(ISNUMBER($G296),$I296&lt;&gt;"Hors service",$I296&lt;&gt;"Location terminée"),$G296+ROW()/100000,"")</f>
      </c>
      <c r="X296" s="9"/>
    </row>
    <row r="297" spans="1:24" x14ac:dyDescent="0.25">
      <c r="A297" s="9"/>
      <c r="B297" s="9"/>
      <c r="C297" s="9"/>
      <c r="D297" s="9"/>
      <c r="E297" s="19">
        <f>IF($A297="","",IF(SUMPRODUCT(MAX((Vérifications!$B$2:$B$1001=$A297)*Vérifications!$L$2:$L$1001))=0,"",SUMPRODUCT(MAX((Vérifications!$B$2:$B$1001=$A297)*Vérifications!$L$2:$L$1001))))</f>
      </c>
      <c r="F297" s="20">
        <f>IF($E297="","",IFERROR(INDEX(Vérifications!$E$2:$E$1001,MATCH($A297&amp;"|"&amp;$E297,Vérifications!$M$2:$M$1001,0)),""))</f>
      </c>
      <c r="G297" s="19">
        <f>IF($N297="","",IF(ISNUMBER($E297),EDATE($E297,$N297),IF(AND(ISNUMBER($U297),IFERROR(INDEX('Référentiel'!$E$2:$E$83,MATCH($C297,'Référentiel'!$A$2:$A$83,0)),0)&gt;0),EDATE($U297,IFERROR(INDEX('Référentiel'!$E$2:$E$83,MATCH($C297,'Référentiel'!$A$2:$A$83,0)),0)),"")))</f>
      </c>
      <c r="H297" s="21">
        <f>IF(ISNUMBER($G297),$G297-TODAY(),"")</f>
      </c>
      <c r="I297" s="20">
        <f>IF(AND($A297="",$C297=""),"",IF($T297="Non","Hors service",IF(AND($Q297="Location",ISNUMBER($R297),$R297&lt;TODAY()),"Location terminée",IF(OR($F297="Mise à l'arrêt",IF($A297="",0,SUMPRODUCT((Réserves!$B$2:$B$301=$A297)*(Réserves!$E$2:$E$301="Mise à l'arrêt")*(Réserves!$J$2:$J$301&lt;&gt;"Levée")*(Réserves!$J$2:$J$301&lt;&gt;"")))&gt;0),"Arrêt : réserve à lever",IF($C297="","Type à choisir",IF($N297="","Périodicité à saisir",IF(OR(ISTEXT($U297),ISTEXT($R297)),"Date à corriger",IF(AND($E297="",$Q297="Location",$S297&lt;&gt;"Oui"),"Rapport loueur à obtenir",IF(NOT(ISNUMBER($G297)),"Vérif. initiale à tracer",IF($H297&lt;0,"En retard",IF(AND($Q297="Location",$S297&lt;&gt;"Oui"),"Rapport loueur à obtenir",IF($H297&lt;='Tableau de bord'!$C$4,"À planifier","À jour"))))))))))))</f>
      </c>
      <c r="J297" s="22">
        <f>IF($A297="","",COUNTIFS(Réserves!$B$2:$B$301,$A297,Réserves!$J$2:$J$301,"Ouverte")+COUNTIFS(Réserves!$B$2:$B$301,$A297,Réserves!$J$2:$J$301,"En retard"))</f>
      </c>
      <c r="K297" s="20">
        <f>IF($C297="","",IFERROR(INDEX('Référentiel'!$B$2:$B$83,MATCH($C297,'Référentiel'!$A$2:$A$83,0)),"Type hors liste"))</f>
      </c>
      <c r="L297" s="22">
        <f>IF($C297="","",IF(IFERROR(INDEX('Référentiel'!$C$2:$C$83,MATCH($C297,'Référentiel'!$A$2:$A$83,0)),0)=0,"",IFERROR(INDEX('Référentiel'!$C$2:$C$83,MATCH($C297,'Référentiel'!$A$2:$A$83,0)),0)))</f>
      </c>
      <c r="M297" s="23"/>
      <c r="N297" s="22">
        <f>IF($C297="","",IF(IF($M297&lt;&gt;"",IF($L297&lt;&gt;"",MIN($L297,$M297),$M297),IF($L297&lt;&gt;"",$L297,IF(IFERROR(INDEX('Référentiel'!$D$2:$D$83,MATCH($C297,'Référentiel'!$A$2:$A$83,0)),0)&gt;0,IFERROR(INDEX('Référentiel'!$D$2:$D$83,MATCH($C297,'Référentiel'!$A$2:$A$83,0)),0),"")))="","",IF(AND(IFERROR(INDEX('Référentiel'!$F$2:$F$83,MATCH($C297,'Référentiel'!$A$2:$A$83,0)),0)&gt;0,N($J297)&gt;0),MIN(IF($M297&lt;&gt;"",IF($L297&lt;&gt;"",MIN($L297,$M297),$M297),IF($L297&lt;&gt;"",$L297,IF(IFERROR(INDEX('Référentiel'!$D$2:$D$83,MATCH($C297,'Référentiel'!$A$2:$A$83,0)),0)&gt;0,IFERROR(INDEX('Référentiel'!$D$2:$D$83,MATCH($C297,'Référentiel'!$A$2:$A$83,0)),0),""))),IFERROR(INDEX('Référentiel'!$F$2:$F$83,MATCH($C297,'Référentiel'!$A$2:$A$83,0)),0)),IF($M297&lt;&gt;"",IF($L297&lt;&gt;"",MIN($L297,$M297),$M297),IF($L297&lt;&gt;"",$L297,IF(IFERROR(INDEX('Référentiel'!$D$2:$D$83,MATCH($C297,'Référentiel'!$A$2:$A$83,0)),0)&gt;0,IFERROR(INDEX('Référentiel'!$D$2:$D$83,MATCH($C297,'Référentiel'!$A$2:$A$83,0)),0),""))))))</f>
      </c>
      <c r="O297" s="9"/>
      <c r="P297" s="23"/>
      <c r="Q297" s="9"/>
      <c r="R297" s="24"/>
      <c r="S297" s="23"/>
      <c r="T297" s="23"/>
      <c r="U297" s="24"/>
      <c r="V297" s="20">
        <f>IF($C297="","",IFERROR(INDEX('Référentiel'!$K$2:$K$83,MATCH($C297,'Référentiel'!$A$2:$A$83,0)),""))</f>
      </c>
      <c r="W297" s="20">
        <f>IF(AND(ISNUMBER($G297),$I297&lt;&gt;"Hors service",$I297&lt;&gt;"Location terminée"),$G297+ROW()/100000,"")</f>
      </c>
      <c r="X297" s="9"/>
    </row>
    <row r="298" spans="1:24" x14ac:dyDescent="0.25">
      <c r="A298" s="9"/>
      <c r="B298" s="9"/>
      <c r="C298" s="9"/>
      <c r="D298" s="9"/>
      <c r="E298" s="19">
        <f>IF($A298="","",IF(SUMPRODUCT(MAX((Vérifications!$B$2:$B$1001=$A298)*Vérifications!$L$2:$L$1001))=0,"",SUMPRODUCT(MAX((Vérifications!$B$2:$B$1001=$A298)*Vérifications!$L$2:$L$1001))))</f>
      </c>
      <c r="F298" s="20">
        <f>IF($E298="","",IFERROR(INDEX(Vérifications!$E$2:$E$1001,MATCH($A298&amp;"|"&amp;$E298,Vérifications!$M$2:$M$1001,0)),""))</f>
      </c>
      <c r="G298" s="19">
        <f>IF($N298="","",IF(ISNUMBER($E298),EDATE($E298,$N298),IF(AND(ISNUMBER($U298),IFERROR(INDEX('Référentiel'!$E$2:$E$83,MATCH($C298,'Référentiel'!$A$2:$A$83,0)),0)&gt;0),EDATE($U298,IFERROR(INDEX('Référentiel'!$E$2:$E$83,MATCH($C298,'Référentiel'!$A$2:$A$83,0)),0)),"")))</f>
      </c>
      <c r="H298" s="21">
        <f>IF(ISNUMBER($G298),$G298-TODAY(),"")</f>
      </c>
      <c r="I298" s="20">
        <f>IF(AND($A298="",$C298=""),"",IF($T298="Non","Hors service",IF(AND($Q298="Location",ISNUMBER($R298),$R298&lt;TODAY()),"Location terminée",IF(OR($F298="Mise à l'arrêt",IF($A298="",0,SUMPRODUCT((Réserves!$B$2:$B$301=$A298)*(Réserves!$E$2:$E$301="Mise à l'arrêt")*(Réserves!$J$2:$J$301&lt;&gt;"Levée")*(Réserves!$J$2:$J$301&lt;&gt;"")))&gt;0),"Arrêt : réserve à lever",IF($C298="","Type à choisir",IF($N298="","Périodicité à saisir",IF(OR(ISTEXT($U298),ISTEXT($R298)),"Date à corriger",IF(AND($E298="",$Q298="Location",$S298&lt;&gt;"Oui"),"Rapport loueur à obtenir",IF(NOT(ISNUMBER($G298)),"Vérif. initiale à tracer",IF($H298&lt;0,"En retard",IF(AND($Q298="Location",$S298&lt;&gt;"Oui"),"Rapport loueur à obtenir",IF($H298&lt;='Tableau de bord'!$C$4,"À planifier","À jour"))))))))))))</f>
      </c>
      <c r="J298" s="22">
        <f>IF($A298="","",COUNTIFS(Réserves!$B$2:$B$301,$A298,Réserves!$J$2:$J$301,"Ouverte")+COUNTIFS(Réserves!$B$2:$B$301,$A298,Réserves!$J$2:$J$301,"En retard"))</f>
      </c>
      <c r="K298" s="20">
        <f>IF($C298="","",IFERROR(INDEX('Référentiel'!$B$2:$B$83,MATCH($C298,'Référentiel'!$A$2:$A$83,0)),"Type hors liste"))</f>
      </c>
      <c r="L298" s="22">
        <f>IF($C298="","",IF(IFERROR(INDEX('Référentiel'!$C$2:$C$83,MATCH($C298,'Référentiel'!$A$2:$A$83,0)),0)=0,"",IFERROR(INDEX('Référentiel'!$C$2:$C$83,MATCH($C298,'Référentiel'!$A$2:$A$83,0)),0)))</f>
      </c>
      <c r="M298" s="23"/>
      <c r="N298" s="22">
        <f>IF($C298="","",IF(IF($M298&lt;&gt;"",IF($L298&lt;&gt;"",MIN($L298,$M298),$M298),IF($L298&lt;&gt;"",$L298,IF(IFERROR(INDEX('Référentiel'!$D$2:$D$83,MATCH($C298,'Référentiel'!$A$2:$A$83,0)),0)&gt;0,IFERROR(INDEX('Référentiel'!$D$2:$D$83,MATCH($C298,'Référentiel'!$A$2:$A$83,0)),0),"")))="","",IF(AND(IFERROR(INDEX('Référentiel'!$F$2:$F$83,MATCH($C298,'Référentiel'!$A$2:$A$83,0)),0)&gt;0,N($J298)&gt;0),MIN(IF($M298&lt;&gt;"",IF($L298&lt;&gt;"",MIN($L298,$M298),$M298),IF($L298&lt;&gt;"",$L298,IF(IFERROR(INDEX('Référentiel'!$D$2:$D$83,MATCH($C298,'Référentiel'!$A$2:$A$83,0)),0)&gt;0,IFERROR(INDEX('Référentiel'!$D$2:$D$83,MATCH($C298,'Référentiel'!$A$2:$A$83,0)),0),""))),IFERROR(INDEX('Référentiel'!$F$2:$F$83,MATCH($C298,'Référentiel'!$A$2:$A$83,0)),0)),IF($M298&lt;&gt;"",IF($L298&lt;&gt;"",MIN($L298,$M298),$M298),IF($L298&lt;&gt;"",$L298,IF(IFERROR(INDEX('Référentiel'!$D$2:$D$83,MATCH($C298,'Référentiel'!$A$2:$A$83,0)),0)&gt;0,IFERROR(INDEX('Référentiel'!$D$2:$D$83,MATCH($C298,'Référentiel'!$A$2:$A$83,0)),0),""))))))</f>
      </c>
      <c r="O298" s="9"/>
      <c r="P298" s="23"/>
      <c r="Q298" s="9"/>
      <c r="R298" s="24"/>
      <c r="S298" s="23"/>
      <c r="T298" s="23"/>
      <c r="U298" s="24"/>
      <c r="V298" s="20">
        <f>IF($C298="","",IFERROR(INDEX('Référentiel'!$K$2:$K$83,MATCH($C298,'Référentiel'!$A$2:$A$83,0)),""))</f>
      </c>
      <c r="W298" s="20">
        <f>IF(AND(ISNUMBER($G298),$I298&lt;&gt;"Hors service",$I298&lt;&gt;"Location terminée"),$G298+ROW()/100000,"")</f>
      </c>
      <c r="X298" s="9"/>
    </row>
    <row r="299" spans="1:24" x14ac:dyDescent="0.25">
      <c r="A299" s="9"/>
      <c r="B299" s="9"/>
      <c r="C299" s="9"/>
      <c r="D299" s="9"/>
      <c r="E299" s="19">
        <f>IF($A299="","",IF(SUMPRODUCT(MAX((Vérifications!$B$2:$B$1001=$A299)*Vérifications!$L$2:$L$1001))=0,"",SUMPRODUCT(MAX((Vérifications!$B$2:$B$1001=$A299)*Vérifications!$L$2:$L$1001))))</f>
      </c>
      <c r="F299" s="20">
        <f>IF($E299="","",IFERROR(INDEX(Vérifications!$E$2:$E$1001,MATCH($A299&amp;"|"&amp;$E299,Vérifications!$M$2:$M$1001,0)),""))</f>
      </c>
      <c r="G299" s="19">
        <f>IF($N299="","",IF(ISNUMBER($E299),EDATE($E299,$N299),IF(AND(ISNUMBER($U299),IFERROR(INDEX('Référentiel'!$E$2:$E$83,MATCH($C299,'Référentiel'!$A$2:$A$83,0)),0)&gt;0),EDATE($U299,IFERROR(INDEX('Référentiel'!$E$2:$E$83,MATCH($C299,'Référentiel'!$A$2:$A$83,0)),0)),"")))</f>
      </c>
      <c r="H299" s="21">
        <f>IF(ISNUMBER($G299),$G299-TODAY(),"")</f>
      </c>
      <c r="I299" s="20">
        <f>IF(AND($A299="",$C299=""),"",IF($T299="Non","Hors service",IF(AND($Q299="Location",ISNUMBER($R299),$R299&lt;TODAY()),"Location terminée",IF(OR($F299="Mise à l'arrêt",IF($A299="",0,SUMPRODUCT((Réserves!$B$2:$B$301=$A299)*(Réserves!$E$2:$E$301="Mise à l'arrêt")*(Réserves!$J$2:$J$301&lt;&gt;"Levée")*(Réserves!$J$2:$J$301&lt;&gt;"")))&gt;0),"Arrêt : réserve à lever",IF($C299="","Type à choisir",IF($N299="","Périodicité à saisir",IF(OR(ISTEXT($U299),ISTEXT($R299)),"Date à corriger",IF(AND($E299="",$Q299="Location",$S299&lt;&gt;"Oui"),"Rapport loueur à obtenir",IF(NOT(ISNUMBER($G299)),"Vérif. initiale à tracer",IF($H299&lt;0,"En retard",IF(AND($Q299="Location",$S299&lt;&gt;"Oui"),"Rapport loueur à obtenir",IF($H299&lt;='Tableau de bord'!$C$4,"À planifier","À jour"))))))))))))</f>
      </c>
      <c r="J299" s="22">
        <f>IF($A299="","",COUNTIFS(Réserves!$B$2:$B$301,$A299,Réserves!$J$2:$J$301,"Ouverte")+COUNTIFS(Réserves!$B$2:$B$301,$A299,Réserves!$J$2:$J$301,"En retard"))</f>
      </c>
      <c r="K299" s="20">
        <f>IF($C299="","",IFERROR(INDEX('Référentiel'!$B$2:$B$83,MATCH($C299,'Référentiel'!$A$2:$A$83,0)),"Type hors liste"))</f>
      </c>
      <c r="L299" s="22">
        <f>IF($C299="","",IF(IFERROR(INDEX('Référentiel'!$C$2:$C$83,MATCH($C299,'Référentiel'!$A$2:$A$83,0)),0)=0,"",IFERROR(INDEX('Référentiel'!$C$2:$C$83,MATCH($C299,'Référentiel'!$A$2:$A$83,0)),0)))</f>
      </c>
      <c r="M299" s="23"/>
      <c r="N299" s="22">
        <f>IF($C299="","",IF(IF($M299&lt;&gt;"",IF($L299&lt;&gt;"",MIN($L299,$M299),$M299),IF($L299&lt;&gt;"",$L299,IF(IFERROR(INDEX('Référentiel'!$D$2:$D$83,MATCH($C299,'Référentiel'!$A$2:$A$83,0)),0)&gt;0,IFERROR(INDEX('Référentiel'!$D$2:$D$83,MATCH($C299,'Référentiel'!$A$2:$A$83,0)),0),"")))="","",IF(AND(IFERROR(INDEX('Référentiel'!$F$2:$F$83,MATCH($C299,'Référentiel'!$A$2:$A$83,0)),0)&gt;0,N($J299)&gt;0),MIN(IF($M299&lt;&gt;"",IF($L299&lt;&gt;"",MIN($L299,$M299),$M299),IF($L299&lt;&gt;"",$L299,IF(IFERROR(INDEX('Référentiel'!$D$2:$D$83,MATCH($C299,'Référentiel'!$A$2:$A$83,0)),0)&gt;0,IFERROR(INDEX('Référentiel'!$D$2:$D$83,MATCH($C299,'Référentiel'!$A$2:$A$83,0)),0),""))),IFERROR(INDEX('Référentiel'!$F$2:$F$83,MATCH($C299,'Référentiel'!$A$2:$A$83,0)),0)),IF($M299&lt;&gt;"",IF($L299&lt;&gt;"",MIN($L299,$M299),$M299),IF($L299&lt;&gt;"",$L299,IF(IFERROR(INDEX('Référentiel'!$D$2:$D$83,MATCH($C299,'Référentiel'!$A$2:$A$83,0)),0)&gt;0,IFERROR(INDEX('Référentiel'!$D$2:$D$83,MATCH($C299,'Référentiel'!$A$2:$A$83,0)),0),""))))))</f>
      </c>
      <c r="O299" s="9"/>
      <c r="P299" s="23"/>
      <c r="Q299" s="9"/>
      <c r="R299" s="24"/>
      <c r="S299" s="23"/>
      <c r="T299" s="23"/>
      <c r="U299" s="24"/>
      <c r="V299" s="20">
        <f>IF($C299="","",IFERROR(INDEX('Référentiel'!$K$2:$K$83,MATCH($C299,'Référentiel'!$A$2:$A$83,0)),""))</f>
      </c>
      <c r="W299" s="20">
        <f>IF(AND(ISNUMBER($G299),$I299&lt;&gt;"Hors service",$I299&lt;&gt;"Location terminée"),$G299+ROW()/100000,"")</f>
      </c>
      <c r="X299" s="9"/>
    </row>
    <row r="300" spans="1:24" x14ac:dyDescent="0.25">
      <c r="A300" s="9"/>
      <c r="B300" s="9"/>
      <c r="C300" s="9"/>
      <c r="D300" s="9"/>
      <c r="E300" s="19">
        <f>IF($A300="","",IF(SUMPRODUCT(MAX((Vérifications!$B$2:$B$1001=$A300)*Vérifications!$L$2:$L$1001))=0,"",SUMPRODUCT(MAX((Vérifications!$B$2:$B$1001=$A300)*Vérifications!$L$2:$L$1001))))</f>
      </c>
      <c r="F300" s="20">
        <f>IF($E300="","",IFERROR(INDEX(Vérifications!$E$2:$E$1001,MATCH($A300&amp;"|"&amp;$E300,Vérifications!$M$2:$M$1001,0)),""))</f>
      </c>
      <c r="G300" s="19">
        <f>IF($N300="","",IF(ISNUMBER($E300),EDATE($E300,$N300),IF(AND(ISNUMBER($U300),IFERROR(INDEX('Référentiel'!$E$2:$E$83,MATCH($C300,'Référentiel'!$A$2:$A$83,0)),0)&gt;0),EDATE($U300,IFERROR(INDEX('Référentiel'!$E$2:$E$83,MATCH($C300,'Référentiel'!$A$2:$A$83,0)),0)),"")))</f>
      </c>
      <c r="H300" s="21">
        <f>IF(ISNUMBER($G300),$G300-TODAY(),"")</f>
      </c>
      <c r="I300" s="20">
        <f>IF(AND($A300="",$C300=""),"",IF($T300="Non","Hors service",IF(AND($Q300="Location",ISNUMBER($R300),$R300&lt;TODAY()),"Location terminée",IF(OR($F300="Mise à l'arrêt",IF($A300="",0,SUMPRODUCT((Réserves!$B$2:$B$301=$A300)*(Réserves!$E$2:$E$301="Mise à l'arrêt")*(Réserves!$J$2:$J$301&lt;&gt;"Levée")*(Réserves!$J$2:$J$301&lt;&gt;"")))&gt;0),"Arrêt : réserve à lever",IF($C300="","Type à choisir",IF($N300="","Périodicité à saisir",IF(OR(ISTEXT($U300),ISTEXT($R300)),"Date à corriger",IF(AND($E300="",$Q300="Location",$S300&lt;&gt;"Oui"),"Rapport loueur à obtenir",IF(NOT(ISNUMBER($G300)),"Vérif. initiale à tracer",IF($H300&lt;0,"En retard",IF(AND($Q300="Location",$S300&lt;&gt;"Oui"),"Rapport loueur à obtenir",IF($H300&lt;='Tableau de bord'!$C$4,"À planifier","À jour"))))))))))))</f>
      </c>
      <c r="J300" s="22">
        <f>IF($A300="","",COUNTIFS(Réserves!$B$2:$B$301,$A300,Réserves!$J$2:$J$301,"Ouverte")+COUNTIFS(Réserves!$B$2:$B$301,$A300,Réserves!$J$2:$J$301,"En retard"))</f>
      </c>
      <c r="K300" s="20">
        <f>IF($C300="","",IFERROR(INDEX('Référentiel'!$B$2:$B$83,MATCH($C300,'Référentiel'!$A$2:$A$83,0)),"Type hors liste"))</f>
      </c>
      <c r="L300" s="22">
        <f>IF($C300="","",IF(IFERROR(INDEX('Référentiel'!$C$2:$C$83,MATCH($C300,'Référentiel'!$A$2:$A$83,0)),0)=0,"",IFERROR(INDEX('Référentiel'!$C$2:$C$83,MATCH($C300,'Référentiel'!$A$2:$A$83,0)),0)))</f>
      </c>
      <c r="M300" s="23"/>
      <c r="N300" s="22">
        <f>IF($C300="","",IF(IF($M300&lt;&gt;"",IF($L300&lt;&gt;"",MIN($L300,$M300),$M300),IF($L300&lt;&gt;"",$L300,IF(IFERROR(INDEX('Référentiel'!$D$2:$D$83,MATCH($C300,'Référentiel'!$A$2:$A$83,0)),0)&gt;0,IFERROR(INDEX('Référentiel'!$D$2:$D$83,MATCH($C300,'Référentiel'!$A$2:$A$83,0)),0),"")))="","",IF(AND(IFERROR(INDEX('Référentiel'!$F$2:$F$83,MATCH($C300,'Référentiel'!$A$2:$A$83,0)),0)&gt;0,N($J300)&gt;0),MIN(IF($M300&lt;&gt;"",IF($L300&lt;&gt;"",MIN($L300,$M300),$M300),IF($L300&lt;&gt;"",$L300,IF(IFERROR(INDEX('Référentiel'!$D$2:$D$83,MATCH($C300,'Référentiel'!$A$2:$A$83,0)),0)&gt;0,IFERROR(INDEX('Référentiel'!$D$2:$D$83,MATCH($C300,'Référentiel'!$A$2:$A$83,0)),0),""))),IFERROR(INDEX('Référentiel'!$F$2:$F$83,MATCH($C300,'Référentiel'!$A$2:$A$83,0)),0)),IF($M300&lt;&gt;"",IF($L300&lt;&gt;"",MIN($L300,$M300),$M300),IF($L300&lt;&gt;"",$L300,IF(IFERROR(INDEX('Référentiel'!$D$2:$D$83,MATCH($C300,'Référentiel'!$A$2:$A$83,0)),0)&gt;0,IFERROR(INDEX('Référentiel'!$D$2:$D$83,MATCH($C300,'Référentiel'!$A$2:$A$83,0)),0),""))))))</f>
      </c>
      <c r="O300" s="9"/>
      <c r="P300" s="23"/>
      <c r="Q300" s="9"/>
      <c r="R300" s="24"/>
      <c r="S300" s="23"/>
      <c r="T300" s="23"/>
      <c r="U300" s="24"/>
      <c r="V300" s="20">
        <f>IF($C300="","",IFERROR(INDEX('Référentiel'!$K$2:$K$83,MATCH($C300,'Référentiel'!$A$2:$A$83,0)),""))</f>
      </c>
      <c r="W300" s="20">
        <f>IF(AND(ISNUMBER($G300),$I300&lt;&gt;"Hors service",$I300&lt;&gt;"Location terminée"),$G300+ROW()/100000,"")</f>
      </c>
      <c r="X300" s="9"/>
    </row>
    <row r="301" spans="1:24" x14ac:dyDescent="0.25">
      <c r="A301" s="9"/>
      <c r="B301" s="9"/>
      <c r="C301" s="9"/>
      <c r="D301" s="9"/>
      <c r="E301" s="19">
        <f>IF($A301="","",IF(SUMPRODUCT(MAX((Vérifications!$B$2:$B$1001=$A301)*Vérifications!$L$2:$L$1001))=0,"",SUMPRODUCT(MAX((Vérifications!$B$2:$B$1001=$A301)*Vérifications!$L$2:$L$1001))))</f>
      </c>
      <c r="F301" s="20">
        <f>IF($E301="","",IFERROR(INDEX(Vérifications!$E$2:$E$1001,MATCH($A301&amp;"|"&amp;$E301,Vérifications!$M$2:$M$1001,0)),""))</f>
      </c>
      <c r="G301" s="19">
        <f>IF($N301="","",IF(ISNUMBER($E301),EDATE($E301,$N301),IF(AND(ISNUMBER($U301),IFERROR(INDEX('Référentiel'!$E$2:$E$83,MATCH($C301,'Référentiel'!$A$2:$A$83,0)),0)&gt;0),EDATE($U301,IFERROR(INDEX('Référentiel'!$E$2:$E$83,MATCH($C301,'Référentiel'!$A$2:$A$83,0)),0)),"")))</f>
      </c>
      <c r="H301" s="21">
        <f>IF(ISNUMBER($G301),$G301-TODAY(),"")</f>
      </c>
      <c r="I301" s="20">
        <f>IF(AND($A301="",$C301=""),"",IF($T301="Non","Hors service",IF(AND($Q301="Location",ISNUMBER($R301),$R301&lt;TODAY()),"Location terminée",IF(OR($F301="Mise à l'arrêt",IF($A301="",0,SUMPRODUCT((Réserves!$B$2:$B$301=$A301)*(Réserves!$E$2:$E$301="Mise à l'arrêt")*(Réserves!$J$2:$J$301&lt;&gt;"Levée")*(Réserves!$J$2:$J$301&lt;&gt;"")))&gt;0),"Arrêt : réserve à lever",IF($C301="","Type à choisir",IF($N301="","Périodicité à saisir",IF(OR(ISTEXT($U301),ISTEXT($R301)),"Date à corriger",IF(AND($E301="",$Q301="Location",$S301&lt;&gt;"Oui"),"Rapport loueur à obtenir",IF(NOT(ISNUMBER($G301)),"Vérif. initiale à tracer",IF($H301&lt;0,"En retard",IF(AND($Q301="Location",$S301&lt;&gt;"Oui"),"Rapport loueur à obtenir",IF($H301&lt;='Tableau de bord'!$C$4,"À planifier","À jour"))))))))))))</f>
      </c>
      <c r="J301" s="22">
        <f>IF($A301="","",COUNTIFS(Réserves!$B$2:$B$301,$A301,Réserves!$J$2:$J$301,"Ouverte")+COUNTIFS(Réserves!$B$2:$B$301,$A301,Réserves!$J$2:$J$301,"En retard"))</f>
      </c>
      <c r="K301" s="20">
        <f>IF($C301="","",IFERROR(INDEX('Référentiel'!$B$2:$B$83,MATCH($C301,'Référentiel'!$A$2:$A$83,0)),"Type hors liste"))</f>
      </c>
      <c r="L301" s="22">
        <f>IF($C301="","",IF(IFERROR(INDEX('Référentiel'!$C$2:$C$83,MATCH($C301,'Référentiel'!$A$2:$A$83,0)),0)=0,"",IFERROR(INDEX('Référentiel'!$C$2:$C$83,MATCH($C301,'Référentiel'!$A$2:$A$83,0)),0)))</f>
      </c>
      <c r="M301" s="23"/>
      <c r="N301" s="22">
        <f>IF($C301="","",IF(IF($M301&lt;&gt;"",IF($L301&lt;&gt;"",MIN($L301,$M301),$M301),IF($L301&lt;&gt;"",$L301,IF(IFERROR(INDEX('Référentiel'!$D$2:$D$83,MATCH($C301,'Référentiel'!$A$2:$A$83,0)),0)&gt;0,IFERROR(INDEX('Référentiel'!$D$2:$D$83,MATCH($C301,'Référentiel'!$A$2:$A$83,0)),0),"")))="","",IF(AND(IFERROR(INDEX('Référentiel'!$F$2:$F$83,MATCH($C301,'Référentiel'!$A$2:$A$83,0)),0)&gt;0,N($J301)&gt;0),MIN(IF($M301&lt;&gt;"",IF($L301&lt;&gt;"",MIN($L301,$M301),$M301),IF($L301&lt;&gt;"",$L301,IF(IFERROR(INDEX('Référentiel'!$D$2:$D$83,MATCH($C301,'Référentiel'!$A$2:$A$83,0)),0)&gt;0,IFERROR(INDEX('Référentiel'!$D$2:$D$83,MATCH($C301,'Référentiel'!$A$2:$A$83,0)),0),""))),IFERROR(INDEX('Référentiel'!$F$2:$F$83,MATCH($C301,'Référentiel'!$A$2:$A$83,0)),0)),IF($M301&lt;&gt;"",IF($L301&lt;&gt;"",MIN($L301,$M301),$M301),IF($L301&lt;&gt;"",$L301,IF(IFERROR(INDEX('Référentiel'!$D$2:$D$83,MATCH($C301,'Référentiel'!$A$2:$A$83,0)),0)&gt;0,IFERROR(INDEX('Référentiel'!$D$2:$D$83,MATCH($C301,'Référentiel'!$A$2:$A$83,0)),0),""))))))</f>
      </c>
      <c r="O301" s="9"/>
      <c r="P301" s="23"/>
      <c r="Q301" s="9"/>
      <c r="R301" s="24"/>
      <c r="S301" s="23"/>
      <c r="T301" s="23"/>
      <c r="U301" s="24"/>
      <c r="V301" s="20">
        <f>IF($C301="","",IFERROR(INDEX('Référentiel'!$K$2:$K$83,MATCH($C301,'Référentiel'!$A$2:$A$83,0)),""))</f>
      </c>
      <c r="W301" s="20">
        <f>IF(AND(ISNUMBER($G301),$I301&lt;&gt;"Hors service",$I301&lt;&gt;"Location terminée"),$G301+ROW()/100000,"")</f>
      </c>
      <c r="X301" s="9"/>
    </row>
  </sheetData>
  <sheetProtection sheet="1" formatColumns="0" formatRows="0" autoFilter="0"/>
  <autoFilter ref="A1:X1"/>
  <conditionalFormatting sqref="I2:I301">
    <cfRule type="expression" dxfId="14" priority="1">
      <formula>$I2="En retard"</formula>
    </cfRule>
    <cfRule type="expression" dxfId="15" priority="2">
      <formula>$I2="Arrêt : réserve à lever"</formula>
    </cfRule>
    <cfRule type="expression" dxfId="16" priority="3">
      <formula>$I2="Vérif. initiale à tracer"</formula>
    </cfRule>
    <cfRule type="expression" dxfId="17" priority="4">
      <formula>$I2="À planifier"</formula>
    </cfRule>
    <cfRule type="expression" dxfId="18" priority="5">
      <formula>$I2="Rapport loueur à obtenir"</formula>
    </cfRule>
    <cfRule type="expression" dxfId="19" priority="6">
      <formula>$I2="Date à corriger"</formula>
    </cfRule>
    <cfRule type="expression" dxfId="20" priority="7">
      <formula>$I2="Périodicité à saisir"</formula>
    </cfRule>
    <cfRule type="expression" dxfId="21" priority="8">
      <formula>$I2="À jour"</formula>
    </cfRule>
    <cfRule type="expression" dxfId="22" priority="9">
      <formula>$I2="Type à choisir"</formula>
    </cfRule>
    <cfRule type="expression" dxfId="23" priority="10">
      <formula>$I2="Hors service"</formula>
    </cfRule>
    <cfRule type="expression" dxfId="24" priority="11">
      <formula>$I2="Location terminée"</formula>
    </cfRule>
  </conditionalFormatting>
  <conditionalFormatting sqref="A2:A301">
    <cfRule type="expression" dxfId="25" priority="1">
      <formula>AND($A2&lt;&gt;"",COUNTIF(Parc!$A$2:$A$301,$A2)&gt;1)</formula>
    </cfRule>
  </conditionalFormatting>
  <conditionalFormatting sqref="M2:M301">
    <cfRule type="expression" dxfId="26" priority="1">
      <formula>AND(ISNUMBER($M2),ISNUMBER($L2),$M2&gt;$L2)</formula>
    </cfRule>
  </conditionalFormatting>
  <conditionalFormatting sqref="J2:J301">
    <cfRule type="expression" dxfId="27" priority="1">
      <formula>AND(ISNUMBER($J2),$J2&gt;0)</formula>
    </cfRule>
  </conditionalFormatting>
  <conditionalFormatting sqref="F2:F301">
    <cfRule type="expression" dxfId="28" priority="1">
      <formula>$F2="Mise à l'arrêt"</formula>
    </cfRule>
  </conditionalFormatting>
  <conditionalFormatting sqref="K2:K301">
    <cfRule type="expression" dxfId="29" priority="1">
      <formula>$K2="Type hors liste"</formula>
    </cfRule>
  </conditionalFormatting>
  <conditionalFormatting sqref="H2:H301">
    <cfRule type="expression" dxfId="30" priority="1">
      <formula>AND(ISNUMBER($H2),$H2&lt;0)</formula>
    </cfRule>
  </conditionalFormatting>
  <conditionalFormatting sqref="R2:R301">
    <cfRule type="expression" dxfId="31" priority="1">
      <formula>ISTEXT($R2)</formula>
    </cfRule>
  </conditionalFormatting>
  <conditionalFormatting sqref="U2:U301">
    <cfRule type="expression" dxfId="32" priority="1">
      <formula>ISTEXT($U2)</formula>
    </cfRule>
  </conditionalFormatting>
  <dataValidations count="9">
    <dataValidation type="list" allowBlank="1" showErrorMessage="1" errorStyle="warning" errorTitle="Type hors liste" error="Choisissez un type dans la liste. Pour un équipement absent, prenez « Autre équipement » et saisissez sa périodicité." sqref="C2:C301">
      <formula1>'Référentiel'!$A$2:$A$83</formula1>
    </dataValidation>
    <dataValidation type="list" allowBlank="1" sqref="D2:D301">
      <formula1>'Tableau de bord'!$B$37:$B$46</formula1>
    </dataValidation>
    <dataValidation type="whole" allowBlank="1" showErrorMessage="1" errorStyle="stop" errorTitle="Nombre de mois" error="Saisissez un nombre entier de mois (1 à 120)." sqref="M2:M301">
      <formula1>1</formula1>
      <formula2>120</formula2>
    </dataValidation>
    <dataValidation type="whole" allowBlank="1" showErrorMessage="1" errorStyle="stop" errorTitle="Quantité" error="Nombre entier." sqref="P2:P301">
      <formula1>1</formula1>
      <formula2>9999</formula2>
    </dataValidation>
    <dataValidation type="list" allowBlank="1" sqref="Q2:Q301">
      <formula1>"Propriété,Location,Prêt ou mise à disposition"</formula1>
    </dataValidation>
    <dataValidation type="custom" allowBlank="1" showErrorMessage="1" errorStyle="stop" errorTitle="Date attendue" error="Saisissez une date au format jj/mm/aaaa." sqref="R2:R301">
      <formula1>ISNUMBER(R2)</formula1>
    </dataValidation>
    <dataValidation type="list" allowBlank="1" sqref="S2:S301">
      <formula1>"Oui,Non"</formula1>
    </dataValidation>
    <dataValidation type="list" allowBlank="1" sqref="T2:T301">
      <formula1>"Oui,Non"</formula1>
    </dataValidation>
    <dataValidation type="custom" allowBlank="1" showErrorMessage="1" errorStyle="stop" errorTitle="Date attendue" error="Saisissez une date passée ou du jour, au format jj/mm/aaaa. Une date tapée comme du texte ne se calcule pas." sqref="U2:U301">
      <formula1>AND(ISNUMBER(U2),U2&lt;=TODAY())</formula1>
    </dataValidation>
  </dataValidations>
  <pageMargins left="0.3" right="0.3" top="0.5" bottom="0.5" header="0.2" footer="0.2"/>
  <pageSetup paperSize="9" orientation="landscape" fitToWidth="1" fitToHeight="0"/>
  <headerFooter>
    <oddFooter>&amp;LRegistre des vérifications périodiques&amp;CPage &amp;P / &amp;N&amp;RImprimé le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D4ED8"/>
    <pageSetUpPr fitToPage="1"/>
  </sheetPr>
  <dimension ref="A1:M10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24" customWidth="1"/>
    <col min="5" max="5" width="18" customWidth="1"/>
    <col min="6" max="6" width="22" customWidth="1"/>
    <col min="7" max="7" width="18" customWidth="1"/>
    <col min="8" max="8" width="14" customWidth="1"/>
    <col min="9" max="9" width="12" customWidth="1"/>
    <col min="10" max="10" width="22" customWidth="1"/>
    <col min="11" max="11" width="26" customWidth="1"/>
    <col min="12" max="13" width="6" hidden="1" customWidth="1"/>
  </cols>
  <sheetData>
    <row r="1" ht="58" customHeight="1" spans="1:13" x14ac:dyDescent="0.25">
      <c r="A1" s="8" t="s">
        <v>126</v>
      </c>
      <c r="B1" s="8" t="s">
        <v>127</v>
      </c>
      <c r="C1" s="8" t="s">
        <v>32</v>
      </c>
      <c r="D1" s="8" t="s">
        <v>128</v>
      </c>
      <c r="E1" s="8" t="s">
        <v>129</v>
      </c>
      <c r="F1" s="8" t="s">
        <v>130</v>
      </c>
      <c r="G1" s="8" t="s">
        <v>131</v>
      </c>
      <c r="H1" s="8" t="s">
        <v>132</v>
      </c>
      <c r="I1" s="18" t="s">
        <v>133</v>
      </c>
      <c r="J1" s="8" t="s">
        <v>134</v>
      </c>
      <c r="K1" s="18" t="s">
        <v>135</v>
      </c>
      <c r="L1" s="8" t="s">
        <v>136</v>
      </c>
      <c r="M1" s="8" t="s">
        <v>137</v>
      </c>
    </row>
    <row r="2" spans="1:13" x14ac:dyDescent="0.25">
      <c r="A2" s="24">
        <v>45938</v>
      </c>
      <c r="B2" s="9" t="s">
        <v>92</v>
      </c>
      <c r="C2" s="20">
        <f>IF($B2="","",IFERROR(INDEX(Parc!$B$2:$B$301,MATCH($B2,Parc!$A$2:$A$301,0)),"Réf. inconnue"))</f>
      </c>
      <c r="D2" s="9" t="s">
        <v>138</v>
      </c>
      <c r="E2" s="9" t="s">
        <v>139</v>
      </c>
      <c r="F2" s="9" t="s">
        <v>140</v>
      </c>
      <c r="G2" s="9" t="s">
        <v>141</v>
      </c>
      <c r="H2" s="9" t="s">
        <v>142</v>
      </c>
      <c r="I2" s="24">
        <v>45943</v>
      </c>
      <c r="J2" s="9" t="s">
        <v>143</v>
      </c>
      <c r="K2" s="9"/>
      <c r="L2" s="20">
        <f>IF(AND(ISNUMBER($A2),$B2&lt;&gt;"",$D2&lt;&gt;"Examen partiel (ne relance pas)"),IF($A2&lt;=TODAY(),$A2,0),0)</f>
      </c>
      <c r="M2" s="20">
        <f>IF($L2=0,"",$B2&amp;"|"&amp;$L2)</f>
      </c>
    </row>
    <row r="3" spans="1:13" x14ac:dyDescent="0.25">
      <c r="A3" s="24">
        <v>46122</v>
      </c>
      <c r="B3" s="9" t="s">
        <v>92</v>
      </c>
      <c r="C3" s="20">
        <f>IF($B3="","",IFERROR(INDEX(Parc!$B$2:$B$301,MATCH($B3,Parc!$A$2:$A$301,0)),"Réf. inconnue"))</f>
      </c>
      <c r="D3" s="9" t="s">
        <v>138</v>
      </c>
      <c r="E3" s="9" t="s">
        <v>139</v>
      </c>
      <c r="F3" s="9" t="s">
        <v>140</v>
      </c>
      <c r="G3" s="9" t="s">
        <v>141</v>
      </c>
      <c r="H3" s="9" t="s">
        <v>144</v>
      </c>
      <c r="I3" s="24">
        <v>46127</v>
      </c>
      <c r="J3" s="9" t="s">
        <v>143</v>
      </c>
      <c r="K3" s="9"/>
      <c r="L3" s="20">
        <f>IF(AND(ISNUMBER($A3),$B3&lt;&gt;"",$D3&lt;&gt;"Examen partiel (ne relance pas)"),IF($A3&lt;=TODAY(),$A3,0),0)</f>
      </c>
      <c r="M3" s="20">
        <f>IF($L3=0,"",$B3&amp;"|"&amp;$L3)</f>
      </c>
    </row>
    <row r="4" spans="1:13" x14ac:dyDescent="0.25">
      <c r="A4" s="24">
        <v>46254</v>
      </c>
      <c r="B4" s="9" t="s">
        <v>98</v>
      </c>
      <c r="C4" s="20">
        <f>IF($B4="","",IFERROR(INDEX(Parc!$B$2:$B$301,MATCH($B4,Parc!$A$2:$A$301,0)),"Réf. inconnue"))</f>
      </c>
      <c r="D4" s="9" t="s">
        <v>138</v>
      </c>
      <c r="E4" s="9" t="s">
        <v>145</v>
      </c>
      <c r="F4" s="9" t="s">
        <v>140</v>
      </c>
      <c r="G4" s="9" t="s">
        <v>141</v>
      </c>
      <c r="H4" s="9" t="s">
        <v>146</v>
      </c>
      <c r="I4" s="24">
        <v>46255</v>
      </c>
      <c r="J4" s="9" t="s">
        <v>143</v>
      </c>
      <c r="K4" s="9" t="s">
        <v>147</v>
      </c>
      <c r="L4" s="20">
        <f>IF(AND(ISNUMBER($A4),$B4&lt;&gt;"",$D4&lt;&gt;"Examen partiel (ne relance pas)"),IF($A4&lt;=TODAY(),$A4,0),0)</f>
      </c>
      <c r="M4" s="20">
        <f>IF($L4=0,"",$B4&amp;"|"&amp;$L4)</f>
      </c>
    </row>
    <row r="5" spans="1:13" x14ac:dyDescent="0.25">
      <c r="A5" s="24">
        <v>46083</v>
      </c>
      <c r="B5" s="9" t="s">
        <v>102</v>
      </c>
      <c r="C5" s="20">
        <f>IF($B5="","",IFERROR(INDEX(Parc!$B$2:$B$301,MATCH($B5,Parc!$A$2:$A$301,0)),"Réf. inconnue"))</f>
      </c>
      <c r="D5" s="9" t="s">
        <v>138</v>
      </c>
      <c r="E5" s="9" t="s">
        <v>148</v>
      </c>
      <c r="F5" s="9" t="s">
        <v>149</v>
      </c>
      <c r="G5" s="9" t="s">
        <v>150</v>
      </c>
      <c r="H5" s="9" t="s">
        <v>151</v>
      </c>
      <c r="I5" s="24"/>
      <c r="J5" s="9" t="s">
        <v>152</v>
      </c>
      <c r="K5" s="9"/>
      <c r="L5" s="20">
        <f>IF(AND(ISNUMBER($A5),$B5&lt;&gt;"",$D5&lt;&gt;"Examen partiel (ne relance pas)"),IF($A5&lt;=TODAY(),$A5,0),0)</f>
      </c>
      <c r="M5" s="20">
        <f>IF($L5=0,"",$B5&amp;"|"&amp;$L5)</f>
      </c>
    </row>
    <row r="6" spans="1:13" x14ac:dyDescent="0.25">
      <c r="A6" s="24">
        <v>46103</v>
      </c>
      <c r="B6" s="9" t="s">
        <v>107</v>
      </c>
      <c r="C6" s="20">
        <f>IF($B6="","",IFERROR(INDEX(Parc!$B$2:$B$301,MATCH($B6,Parc!$A$2:$A$301,0)),"Réf. inconnue"))</f>
      </c>
      <c r="D6" s="9" t="s">
        <v>138</v>
      </c>
      <c r="E6" s="9" t="s">
        <v>139</v>
      </c>
      <c r="F6" s="9" t="s">
        <v>153</v>
      </c>
      <c r="G6" s="9" t="s">
        <v>154</v>
      </c>
      <c r="H6" s="9" t="s">
        <v>155</v>
      </c>
      <c r="I6" s="24">
        <v>46103</v>
      </c>
      <c r="J6" s="9" t="s">
        <v>143</v>
      </c>
      <c r="K6" s="9"/>
      <c r="L6" s="20">
        <f>IF(AND(ISNUMBER($A6),$B6&lt;&gt;"",$D6&lt;&gt;"Examen partiel (ne relance pas)"),IF($A6&lt;=TODAY(),$A6,0),0)</f>
      </c>
      <c r="M6" s="20">
        <f>IF($L6=0,"",$B6&amp;"|"&amp;$L6)</f>
      </c>
    </row>
    <row r="7" spans="1:13" x14ac:dyDescent="0.25">
      <c r="A7" s="24">
        <v>46027</v>
      </c>
      <c r="B7" s="9" t="s">
        <v>111</v>
      </c>
      <c r="C7" s="20">
        <f>IF($B7="","",IFERROR(INDEX(Parc!$B$2:$B$301,MATCH($B7,Parc!$A$2:$A$301,0)),"Réf. inconnue"))</f>
      </c>
      <c r="D7" s="9" t="s">
        <v>138</v>
      </c>
      <c r="E7" s="9" t="s">
        <v>148</v>
      </c>
      <c r="F7" s="9" t="s">
        <v>153</v>
      </c>
      <c r="G7" s="9" t="s">
        <v>154</v>
      </c>
      <c r="H7" s="9" t="s">
        <v>156</v>
      </c>
      <c r="I7" s="24">
        <v>46027</v>
      </c>
      <c r="J7" s="9" t="s">
        <v>143</v>
      </c>
      <c r="K7" s="9"/>
      <c r="L7" s="20">
        <f>IF(AND(ISNUMBER($A7),$B7&lt;&gt;"",$D7&lt;&gt;"Examen partiel (ne relance pas)"),IF($A7&lt;=TODAY(),$A7,0),0)</f>
      </c>
      <c r="M7" s="20">
        <f>IF($L7=0,"",$B7&amp;"|"&amp;$L7)</f>
      </c>
    </row>
    <row r="8" spans="1:13" x14ac:dyDescent="0.25">
      <c r="A8" s="24">
        <v>45915</v>
      </c>
      <c r="B8" s="9" t="s">
        <v>117</v>
      </c>
      <c r="C8" s="20">
        <f>IF($B8="","",IFERROR(INDEX(Parc!$B$2:$B$301,MATCH($B8,Parc!$A$2:$A$301,0)),"Réf. inconnue"))</f>
      </c>
      <c r="D8" s="9" t="s">
        <v>138</v>
      </c>
      <c r="E8" s="9" t="s">
        <v>148</v>
      </c>
      <c r="F8" s="9" t="s">
        <v>153</v>
      </c>
      <c r="G8" s="9" t="s">
        <v>154</v>
      </c>
      <c r="H8" s="9" t="s">
        <v>157</v>
      </c>
      <c r="I8" s="24">
        <v>45915</v>
      </c>
      <c r="J8" s="9" t="s">
        <v>158</v>
      </c>
      <c r="K8" s="9"/>
      <c r="L8" s="20">
        <f>IF(AND(ISNUMBER($A8),$B8&lt;&gt;"",$D8&lt;&gt;"Examen partiel (ne relance pas)"),IF($A8&lt;=TODAY(),$A8,0),0)</f>
      </c>
      <c r="M8" s="20">
        <f>IF($L8=0,"",$B8&amp;"|"&amp;$L8)</f>
      </c>
    </row>
    <row r="9" spans="1:13" x14ac:dyDescent="0.25">
      <c r="A9" s="24">
        <v>45973</v>
      </c>
      <c r="B9" s="9" t="s">
        <v>120</v>
      </c>
      <c r="C9" s="20">
        <f>IF($B9="","",IFERROR(INDEX(Parc!$B$2:$B$301,MATCH($B9,Parc!$A$2:$A$301,0)),"Réf. inconnue"))</f>
      </c>
      <c r="D9" s="9" t="s">
        <v>138</v>
      </c>
      <c r="E9" s="9" t="s">
        <v>148</v>
      </c>
      <c r="F9" s="9" t="s">
        <v>159</v>
      </c>
      <c r="G9" s="9" t="s">
        <v>160</v>
      </c>
      <c r="H9" s="9" t="s">
        <v>161</v>
      </c>
      <c r="I9" s="24">
        <v>46001</v>
      </c>
      <c r="J9" s="9" t="s">
        <v>162</v>
      </c>
      <c r="K9" s="9"/>
      <c r="L9" s="20">
        <f>IF(AND(ISNUMBER($A9),$B9&lt;&gt;"",$D9&lt;&gt;"Examen partiel (ne relance pas)"),IF($A9&lt;=TODAY(),$A9,0),0)</f>
      </c>
      <c r="M9" s="20">
        <f>IF($L9=0,"",$B9&amp;"|"&amp;$L9)</f>
      </c>
    </row>
    <row r="10" spans="1:13" x14ac:dyDescent="0.25">
      <c r="A10" s="24">
        <v>46063</v>
      </c>
      <c r="B10" s="9" t="s">
        <v>123</v>
      </c>
      <c r="C10" s="20">
        <f>IF($B10="","",IFERROR(INDEX(Parc!$B$2:$B$301,MATCH($B10,Parc!$A$2:$A$301,0)),"Réf. inconnue"))</f>
      </c>
      <c r="D10" s="9" t="s">
        <v>138</v>
      </c>
      <c r="E10" s="9" t="s">
        <v>148</v>
      </c>
      <c r="F10" s="9" t="s">
        <v>163</v>
      </c>
      <c r="G10" s="9" t="s">
        <v>164</v>
      </c>
      <c r="H10" s="9" t="s">
        <v>165</v>
      </c>
      <c r="I10" s="24">
        <v>46063</v>
      </c>
      <c r="J10" s="9" t="s">
        <v>162</v>
      </c>
      <c r="K10" s="9"/>
      <c r="L10" s="20">
        <f>IF(AND(ISNUMBER($A10),$B10&lt;&gt;"",$D10&lt;&gt;"Examen partiel (ne relance pas)"),IF($A10&lt;=TODAY(),$A10,0),0)</f>
      </c>
      <c r="M10" s="20">
        <f>IF($L10=0,"",$B10&amp;"|"&amp;$L10)</f>
      </c>
    </row>
    <row r="11" spans="1:13" x14ac:dyDescent="0.25">
      <c r="A11" s="24"/>
      <c r="B11" s="9"/>
      <c r="C11" s="20">
        <f>IF($B11="","",IFERROR(INDEX(Parc!$B$2:$B$301,MATCH($B11,Parc!$A$2:$A$301,0)),"Réf. inconnue"))</f>
      </c>
      <c r="D11" s="9"/>
      <c r="E11" s="9"/>
      <c r="F11" s="9"/>
      <c r="G11" s="9"/>
      <c r="H11" s="9"/>
      <c r="I11" s="24"/>
      <c r="J11" s="9"/>
      <c r="K11" s="9"/>
      <c r="L11" s="20">
        <f>IF(AND(ISNUMBER($A11),$B11&lt;&gt;"",$D11&lt;&gt;"Examen partiel (ne relance pas)"),IF($A11&lt;=TODAY(),$A11,0),0)</f>
      </c>
      <c r="M11" s="20">
        <f>IF($L11=0,"",$B11&amp;"|"&amp;$L11)</f>
      </c>
    </row>
    <row r="12" spans="1:13" x14ac:dyDescent="0.25">
      <c r="A12" s="24"/>
      <c r="B12" s="9"/>
      <c r="C12" s="20">
        <f>IF($B12="","",IFERROR(INDEX(Parc!$B$2:$B$301,MATCH($B12,Parc!$A$2:$A$301,0)),"Réf. inconnue"))</f>
      </c>
      <c r="D12" s="9"/>
      <c r="E12" s="9"/>
      <c r="F12" s="9"/>
      <c r="G12" s="9"/>
      <c r="H12" s="9"/>
      <c r="I12" s="24"/>
      <c r="J12" s="9"/>
      <c r="K12" s="9"/>
      <c r="L12" s="20">
        <f>IF(AND(ISNUMBER($A12),$B12&lt;&gt;"",$D12&lt;&gt;"Examen partiel (ne relance pas)"),IF($A12&lt;=TODAY(),$A12,0),0)</f>
      </c>
      <c r="M12" s="20">
        <f>IF($L12=0,"",$B12&amp;"|"&amp;$L12)</f>
      </c>
    </row>
    <row r="13" spans="1:13" x14ac:dyDescent="0.25">
      <c r="A13" s="24"/>
      <c r="B13" s="9"/>
      <c r="C13" s="20">
        <f>IF($B13="","",IFERROR(INDEX(Parc!$B$2:$B$301,MATCH($B13,Parc!$A$2:$A$301,0)),"Réf. inconnue"))</f>
      </c>
      <c r="D13" s="9"/>
      <c r="E13" s="9"/>
      <c r="F13" s="9"/>
      <c r="G13" s="9"/>
      <c r="H13" s="9"/>
      <c r="I13" s="24"/>
      <c r="J13" s="9"/>
      <c r="K13" s="9"/>
      <c r="L13" s="20">
        <f>IF(AND(ISNUMBER($A13),$B13&lt;&gt;"",$D13&lt;&gt;"Examen partiel (ne relance pas)"),IF($A13&lt;=TODAY(),$A13,0),0)</f>
      </c>
      <c r="M13" s="20">
        <f>IF($L13=0,"",$B13&amp;"|"&amp;$L13)</f>
      </c>
    </row>
    <row r="14" spans="1:13" x14ac:dyDescent="0.25">
      <c r="A14" s="24"/>
      <c r="B14" s="9"/>
      <c r="C14" s="20">
        <f>IF($B14="","",IFERROR(INDEX(Parc!$B$2:$B$301,MATCH($B14,Parc!$A$2:$A$301,0)),"Réf. inconnue"))</f>
      </c>
      <c r="D14" s="9"/>
      <c r="E14" s="9"/>
      <c r="F14" s="9"/>
      <c r="G14" s="9"/>
      <c r="H14" s="9"/>
      <c r="I14" s="24"/>
      <c r="J14" s="9"/>
      <c r="K14" s="9"/>
      <c r="L14" s="20">
        <f>IF(AND(ISNUMBER($A14),$B14&lt;&gt;"",$D14&lt;&gt;"Examen partiel (ne relance pas)"),IF($A14&lt;=TODAY(),$A14,0),0)</f>
      </c>
      <c r="M14" s="20">
        <f>IF($L14=0,"",$B14&amp;"|"&amp;$L14)</f>
      </c>
    </row>
    <row r="15" spans="1:13" x14ac:dyDescent="0.25">
      <c r="A15" s="24"/>
      <c r="B15" s="9"/>
      <c r="C15" s="20">
        <f>IF($B15="","",IFERROR(INDEX(Parc!$B$2:$B$301,MATCH($B15,Parc!$A$2:$A$301,0)),"Réf. inconnue"))</f>
      </c>
      <c r="D15" s="9"/>
      <c r="E15" s="9"/>
      <c r="F15" s="9"/>
      <c r="G15" s="9"/>
      <c r="H15" s="9"/>
      <c r="I15" s="24"/>
      <c r="J15" s="9"/>
      <c r="K15" s="9"/>
      <c r="L15" s="20">
        <f>IF(AND(ISNUMBER($A15),$B15&lt;&gt;"",$D15&lt;&gt;"Examen partiel (ne relance pas)"),IF($A15&lt;=TODAY(),$A15,0),0)</f>
      </c>
      <c r="M15" s="20">
        <f>IF($L15=0,"",$B15&amp;"|"&amp;$L15)</f>
      </c>
    </row>
    <row r="16" spans="1:13" x14ac:dyDescent="0.25">
      <c r="A16" s="24"/>
      <c r="B16" s="9"/>
      <c r="C16" s="20">
        <f>IF($B16="","",IFERROR(INDEX(Parc!$B$2:$B$301,MATCH($B16,Parc!$A$2:$A$301,0)),"Réf. inconnue"))</f>
      </c>
      <c r="D16" s="9"/>
      <c r="E16" s="9"/>
      <c r="F16" s="9"/>
      <c r="G16" s="9"/>
      <c r="H16" s="9"/>
      <c r="I16" s="24"/>
      <c r="J16" s="9"/>
      <c r="K16" s="9"/>
      <c r="L16" s="20">
        <f>IF(AND(ISNUMBER($A16),$B16&lt;&gt;"",$D16&lt;&gt;"Examen partiel (ne relance pas)"),IF($A16&lt;=TODAY(),$A16,0),0)</f>
      </c>
      <c r="M16" s="20">
        <f>IF($L16=0,"",$B16&amp;"|"&amp;$L16)</f>
      </c>
    </row>
    <row r="17" spans="1:13" x14ac:dyDescent="0.25">
      <c r="A17" s="24"/>
      <c r="B17" s="9"/>
      <c r="C17" s="20">
        <f>IF($B17="","",IFERROR(INDEX(Parc!$B$2:$B$301,MATCH($B17,Parc!$A$2:$A$301,0)),"Réf. inconnue"))</f>
      </c>
      <c r="D17" s="9"/>
      <c r="E17" s="9"/>
      <c r="F17" s="9"/>
      <c r="G17" s="9"/>
      <c r="H17" s="9"/>
      <c r="I17" s="24"/>
      <c r="J17" s="9"/>
      <c r="K17" s="9"/>
      <c r="L17" s="20">
        <f>IF(AND(ISNUMBER($A17),$B17&lt;&gt;"",$D17&lt;&gt;"Examen partiel (ne relance pas)"),IF($A17&lt;=TODAY(),$A17,0),0)</f>
      </c>
      <c r="M17" s="20">
        <f>IF($L17=0,"",$B17&amp;"|"&amp;$L17)</f>
      </c>
    </row>
    <row r="18" spans="1:13" x14ac:dyDescent="0.25">
      <c r="A18" s="24"/>
      <c r="B18" s="9"/>
      <c r="C18" s="20">
        <f>IF($B18="","",IFERROR(INDEX(Parc!$B$2:$B$301,MATCH($B18,Parc!$A$2:$A$301,0)),"Réf. inconnue"))</f>
      </c>
      <c r="D18" s="9"/>
      <c r="E18" s="9"/>
      <c r="F18" s="9"/>
      <c r="G18" s="9"/>
      <c r="H18" s="9"/>
      <c r="I18" s="24"/>
      <c r="J18" s="9"/>
      <c r="K18" s="9"/>
      <c r="L18" s="20">
        <f>IF(AND(ISNUMBER($A18),$B18&lt;&gt;"",$D18&lt;&gt;"Examen partiel (ne relance pas)"),IF($A18&lt;=TODAY(),$A18,0),0)</f>
      </c>
      <c r="M18" s="20">
        <f>IF($L18=0,"",$B18&amp;"|"&amp;$L18)</f>
      </c>
    </row>
    <row r="19" spans="1:13" x14ac:dyDescent="0.25">
      <c r="A19" s="24"/>
      <c r="B19" s="9"/>
      <c r="C19" s="20">
        <f>IF($B19="","",IFERROR(INDEX(Parc!$B$2:$B$301,MATCH($B19,Parc!$A$2:$A$301,0)),"Réf. inconnue"))</f>
      </c>
      <c r="D19" s="9"/>
      <c r="E19" s="9"/>
      <c r="F19" s="9"/>
      <c r="G19" s="9"/>
      <c r="H19" s="9"/>
      <c r="I19" s="24"/>
      <c r="J19" s="9"/>
      <c r="K19" s="9"/>
      <c r="L19" s="20">
        <f>IF(AND(ISNUMBER($A19),$B19&lt;&gt;"",$D19&lt;&gt;"Examen partiel (ne relance pas)"),IF($A19&lt;=TODAY(),$A19,0),0)</f>
      </c>
      <c r="M19" s="20">
        <f>IF($L19=0,"",$B19&amp;"|"&amp;$L19)</f>
      </c>
    </row>
    <row r="20" spans="1:13" x14ac:dyDescent="0.25">
      <c r="A20" s="24"/>
      <c r="B20" s="9"/>
      <c r="C20" s="20">
        <f>IF($B20="","",IFERROR(INDEX(Parc!$B$2:$B$301,MATCH($B20,Parc!$A$2:$A$301,0)),"Réf. inconnue"))</f>
      </c>
      <c r="D20" s="9"/>
      <c r="E20" s="9"/>
      <c r="F20" s="9"/>
      <c r="G20" s="9"/>
      <c r="H20" s="9"/>
      <c r="I20" s="24"/>
      <c r="J20" s="9"/>
      <c r="K20" s="9"/>
      <c r="L20" s="20">
        <f>IF(AND(ISNUMBER($A20),$B20&lt;&gt;"",$D20&lt;&gt;"Examen partiel (ne relance pas)"),IF($A20&lt;=TODAY(),$A20,0),0)</f>
      </c>
      <c r="M20" s="20">
        <f>IF($L20=0,"",$B20&amp;"|"&amp;$L20)</f>
      </c>
    </row>
    <row r="21" spans="1:13" x14ac:dyDescent="0.25">
      <c r="A21" s="24"/>
      <c r="B21" s="9"/>
      <c r="C21" s="20">
        <f>IF($B21="","",IFERROR(INDEX(Parc!$B$2:$B$301,MATCH($B21,Parc!$A$2:$A$301,0)),"Réf. inconnue"))</f>
      </c>
      <c r="D21" s="9"/>
      <c r="E21" s="9"/>
      <c r="F21" s="9"/>
      <c r="G21" s="9"/>
      <c r="H21" s="9"/>
      <c r="I21" s="24"/>
      <c r="J21" s="9"/>
      <c r="K21" s="9"/>
      <c r="L21" s="20">
        <f>IF(AND(ISNUMBER($A21),$B21&lt;&gt;"",$D21&lt;&gt;"Examen partiel (ne relance pas)"),IF($A21&lt;=TODAY(),$A21,0),0)</f>
      </c>
      <c r="M21" s="20">
        <f>IF($L21=0,"",$B21&amp;"|"&amp;$L21)</f>
      </c>
    </row>
    <row r="22" spans="1:13" x14ac:dyDescent="0.25">
      <c r="A22" s="24"/>
      <c r="B22" s="9"/>
      <c r="C22" s="20">
        <f>IF($B22="","",IFERROR(INDEX(Parc!$B$2:$B$301,MATCH($B22,Parc!$A$2:$A$301,0)),"Réf. inconnue"))</f>
      </c>
      <c r="D22" s="9"/>
      <c r="E22" s="9"/>
      <c r="F22" s="9"/>
      <c r="G22" s="9"/>
      <c r="H22" s="9"/>
      <c r="I22" s="24"/>
      <c r="J22" s="9"/>
      <c r="K22" s="9"/>
      <c r="L22" s="20">
        <f>IF(AND(ISNUMBER($A22),$B22&lt;&gt;"",$D22&lt;&gt;"Examen partiel (ne relance pas)"),IF($A22&lt;=TODAY(),$A22,0),0)</f>
      </c>
      <c r="M22" s="20">
        <f>IF($L22=0,"",$B22&amp;"|"&amp;$L22)</f>
      </c>
    </row>
    <row r="23" spans="1:13" x14ac:dyDescent="0.25">
      <c r="A23" s="24"/>
      <c r="B23" s="9"/>
      <c r="C23" s="20">
        <f>IF($B23="","",IFERROR(INDEX(Parc!$B$2:$B$301,MATCH($B23,Parc!$A$2:$A$301,0)),"Réf. inconnue"))</f>
      </c>
      <c r="D23" s="9"/>
      <c r="E23" s="9"/>
      <c r="F23" s="9"/>
      <c r="G23" s="9"/>
      <c r="H23" s="9"/>
      <c r="I23" s="24"/>
      <c r="J23" s="9"/>
      <c r="K23" s="9"/>
      <c r="L23" s="20">
        <f>IF(AND(ISNUMBER($A23),$B23&lt;&gt;"",$D23&lt;&gt;"Examen partiel (ne relance pas)"),IF($A23&lt;=TODAY(),$A23,0),0)</f>
      </c>
      <c r="M23" s="20">
        <f>IF($L23=0,"",$B23&amp;"|"&amp;$L23)</f>
      </c>
    </row>
    <row r="24" spans="1:13" x14ac:dyDescent="0.25">
      <c r="A24" s="24"/>
      <c r="B24" s="9"/>
      <c r="C24" s="20">
        <f>IF($B24="","",IFERROR(INDEX(Parc!$B$2:$B$301,MATCH($B24,Parc!$A$2:$A$301,0)),"Réf. inconnue"))</f>
      </c>
      <c r="D24" s="9"/>
      <c r="E24" s="9"/>
      <c r="F24" s="9"/>
      <c r="G24" s="9"/>
      <c r="H24" s="9"/>
      <c r="I24" s="24"/>
      <c r="J24" s="9"/>
      <c r="K24" s="9"/>
      <c r="L24" s="20">
        <f>IF(AND(ISNUMBER($A24),$B24&lt;&gt;"",$D24&lt;&gt;"Examen partiel (ne relance pas)"),IF($A24&lt;=TODAY(),$A24,0),0)</f>
      </c>
      <c r="M24" s="20">
        <f>IF($L24=0,"",$B24&amp;"|"&amp;$L24)</f>
      </c>
    </row>
    <row r="25" spans="1:13" x14ac:dyDescent="0.25">
      <c r="A25" s="24"/>
      <c r="B25" s="9"/>
      <c r="C25" s="20">
        <f>IF($B25="","",IFERROR(INDEX(Parc!$B$2:$B$301,MATCH($B25,Parc!$A$2:$A$301,0)),"Réf. inconnue"))</f>
      </c>
      <c r="D25" s="9"/>
      <c r="E25" s="9"/>
      <c r="F25" s="9"/>
      <c r="G25" s="9"/>
      <c r="H25" s="9"/>
      <c r="I25" s="24"/>
      <c r="J25" s="9"/>
      <c r="K25" s="9"/>
      <c r="L25" s="20">
        <f>IF(AND(ISNUMBER($A25),$B25&lt;&gt;"",$D25&lt;&gt;"Examen partiel (ne relance pas)"),IF($A25&lt;=TODAY(),$A25,0),0)</f>
      </c>
      <c r="M25" s="20">
        <f>IF($L25=0,"",$B25&amp;"|"&amp;$L25)</f>
      </c>
    </row>
    <row r="26" spans="1:13" x14ac:dyDescent="0.25">
      <c r="A26" s="24"/>
      <c r="B26" s="9"/>
      <c r="C26" s="20">
        <f>IF($B26="","",IFERROR(INDEX(Parc!$B$2:$B$301,MATCH($B26,Parc!$A$2:$A$301,0)),"Réf. inconnue"))</f>
      </c>
      <c r="D26" s="9"/>
      <c r="E26" s="9"/>
      <c r="F26" s="9"/>
      <c r="G26" s="9"/>
      <c r="H26" s="9"/>
      <c r="I26" s="24"/>
      <c r="J26" s="9"/>
      <c r="K26" s="9"/>
      <c r="L26" s="20">
        <f>IF(AND(ISNUMBER($A26),$B26&lt;&gt;"",$D26&lt;&gt;"Examen partiel (ne relance pas)"),IF($A26&lt;=TODAY(),$A26,0),0)</f>
      </c>
      <c r="M26" s="20">
        <f>IF($L26=0,"",$B26&amp;"|"&amp;$L26)</f>
      </c>
    </row>
    <row r="27" spans="1:13" x14ac:dyDescent="0.25">
      <c r="A27" s="24"/>
      <c r="B27" s="9"/>
      <c r="C27" s="20">
        <f>IF($B27="","",IFERROR(INDEX(Parc!$B$2:$B$301,MATCH($B27,Parc!$A$2:$A$301,0)),"Réf. inconnue"))</f>
      </c>
      <c r="D27" s="9"/>
      <c r="E27" s="9"/>
      <c r="F27" s="9"/>
      <c r="G27" s="9"/>
      <c r="H27" s="9"/>
      <c r="I27" s="24"/>
      <c r="J27" s="9"/>
      <c r="K27" s="9"/>
      <c r="L27" s="20">
        <f>IF(AND(ISNUMBER($A27),$B27&lt;&gt;"",$D27&lt;&gt;"Examen partiel (ne relance pas)"),IF($A27&lt;=TODAY(),$A27,0),0)</f>
      </c>
      <c r="M27" s="20">
        <f>IF($L27=0,"",$B27&amp;"|"&amp;$L27)</f>
      </c>
    </row>
    <row r="28" spans="1:13" x14ac:dyDescent="0.25">
      <c r="A28" s="24"/>
      <c r="B28" s="9"/>
      <c r="C28" s="20">
        <f>IF($B28="","",IFERROR(INDEX(Parc!$B$2:$B$301,MATCH($B28,Parc!$A$2:$A$301,0)),"Réf. inconnue"))</f>
      </c>
      <c r="D28" s="9"/>
      <c r="E28" s="9"/>
      <c r="F28" s="9"/>
      <c r="G28" s="9"/>
      <c r="H28" s="9"/>
      <c r="I28" s="24"/>
      <c r="J28" s="9"/>
      <c r="K28" s="9"/>
      <c r="L28" s="20">
        <f>IF(AND(ISNUMBER($A28),$B28&lt;&gt;"",$D28&lt;&gt;"Examen partiel (ne relance pas)"),IF($A28&lt;=TODAY(),$A28,0),0)</f>
      </c>
      <c r="M28" s="20">
        <f>IF($L28=0,"",$B28&amp;"|"&amp;$L28)</f>
      </c>
    </row>
    <row r="29" spans="1:13" x14ac:dyDescent="0.25">
      <c r="A29" s="24"/>
      <c r="B29" s="9"/>
      <c r="C29" s="20">
        <f>IF($B29="","",IFERROR(INDEX(Parc!$B$2:$B$301,MATCH($B29,Parc!$A$2:$A$301,0)),"Réf. inconnue"))</f>
      </c>
      <c r="D29" s="9"/>
      <c r="E29" s="9"/>
      <c r="F29" s="9"/>
      <c r="G29" s="9"/>
      <c r="H29" s="9"/>
      <c r="I29" s="24"/>
      <c r="J29" s="9"/>
      <c r="K29" s="9"/>
      <c r="L29" s="20">
        <f>IF(AND(ISNUMBER($A29),$B29&lt;&gt;"",$D29&lt;&gt;"Examen partiel (ne relance pas)"),IF($A29&lt;=TODAY(),$A29,0),0)</f>
      </c>
      <c r="M29" s="20">
        <f>IF($L29=0,"",$B29&amp;"|"&amp;$L29)</f>
      </c>
    </row>
    <row r="30" spans="1:13" x14ac:dyDescent="0.25">
      <c r="A30" s="24"/>
      <c r="B30" s="9"/>
      <c r="C30" s="20">
        <f>IF($B30="","",IFERROR(INDEX(Parc!$B$2:$B$301,MATCH($B30,Parc!$A$2:$A$301,0)),"Réf. inconnue"))</f>
      </c>
      <c r="D30" s="9"/>
      <c r="E30" s="9"/>
      <c r="F30" s="9"/>
      <c r="G30" s="9"/>
      <c r="H30" s="9"/>
      <c r="I30" s="24"/>
      <c r="J30" s="9"/>
      <c r="K30" s="9"/>
      <c r="L30" s="20">
        <f>IF(AND(ISNUMBER($A30),$B30&lt;&gt;"",$D30&lt;&gt;"Examen partiel (ne relance pas)"),IF($A30&lt;=TODAY(),$A30,0),0)</f>
      </c>
      <c r="M30" s="20">
        <f>IF($L30=0,"",$B30&amp;"|"&amp;$L30)</f>
      </c>
    </row>
    <row r="31" spans="1:13" x14ac:dyDescent="0.25">
      <c r="A31" s="24"/>
      <c r="B31" s="9"/>
      <c r="C31" s="20">
        <f>IF($B31="","",IFERROR(INDEX(Parc!$B$2:$B$301,MATCH($B31,Parc!$A$2:$A$301,0)),"Réf. inconnue"))</f>
      </c>
      <c r="D31" s="9"/>
      <c r="E31" s="9"/>
      <c r="F31" s="9"/>
      <c r="G31" s="9"/>
      <c r="H31" s="9"/>
      <c r="I31" s="24"/>
      <c r="J31" s="9"/>
      <c r="K31" s="9"/>
      <c r="L31" s="20">
        <f>IF(AND(ISNUMBER($A31),$B31&lt;&gt;"",$D31&lt;&gt;"Examen partiel (ne relance pas)"),IF($A31&lt;=TODAY(),$A31,0),0)</f>
      </c>
      <c r="M31" s="20">
        <f>IF($L31=0,"",$B31&amp;"|"&amp;$L31)</f>
      </c>
    </row>
    <row r="32" spans="1:13" x14ac:dyDescent="0.25">
      <c r="A32" s="24"/>
      <c r="B32" s="9"/>
      <c r="C32" s="20">
        <f>IF($B32="","",IFERROR(INDEX(Parc!$B$2:$B$301,MATCH($B32,Parc!$A$2:$A$301,0)),"Réf. inconnue"))</f>
      </c>
      <c r="D32" s="9"/>
      <c r="E32" s="9"/>
      <c r="F32" s="9"/>
      <c r="G32" s="9"/>
      <c r="H32" s="9"/>
      <c r="I32" s="24"/>
      <c r="J32" s="9"/>
      <c r="K32" s="9"/>
      <c r="L32" s="20">
        <f>IF(AND(ISNUMBER($A32),$B32&lt;&gt;"",$D32&lt;&gt;"Examen partiel (ne relance pas)"),IF($A32&lt;=TODAY(),$A32,0),0)</f>
      </c>
      <c r="M32" s="20">
        <f>IF($L32=0,"",$B32&amp;"|"&amp;$L32)</f>
      </c>
    </row>
    <row r="33" spans="1:13" x14ac:dyDescent="0.25">
      <c r="A33" s="24"/>
      <c r="B33" s="9"/>
      <c r="C33" s="20">
        <f>IF($B33="","",IFERROR(INDEX(Parc!$B$2:$B$301,MATCH($B33,Parc!$A$2:$A$301,0)),"Réf. inconnue"))</f>
      </c>
      <c r="D33" s="9"/>
      <c r="E33" s="9"/>
      <c r="F33" s="9"/>
      <c r="G33" s="9"/>
      <c r="H33" s="9"/>
      <c r="I33" s="24"/>
      <c r="J33" s="9"/>
      <c r="K33" s="9"/>
      <c r="L33" s="20">
        <f>IF(AND(ISNUMBER($A33),$B33&lt;&gt;"",$D33&lt;&gt;"Examen partiel (ne relance pas)"),IF($A33&lt;=TODAY(),$A33,0),0)</f>
      </c>
      <c r="M33" s="20">
        <f>IF($L33=0,"",$B33&amp;"|"&amp;$L33)</f>
      </c>
    </row>
    <row r="34" spans="1:13" x14ac:dyDescent="0.25">
      <c r="A34" s="24"/>
      <c r="B34" s="9"/>
      <c r="C34" s="20">
        <f>IF($B34="","",IFERROR(INDEX(Parc!$B$2:$B$301,MATCH($B34,Parc!$A$2:$A$301,0)),"Réf. inconnue"))</f>
      </c>
      <c r="D34" s="9"/>
      <c r="E34" s="9"/>
      <c r="F34" s="9"/>
      <c r="G34" s="9"/>
      <c r="H34" s="9"/>
      <c r="I34" s="24"/>
      <c r="J34" s="9"/>
      <c r="K34" s="9"/>
      <c r="L34" s="20">
        <f>IF(AND(ISNUMBER($A34),$B34&lt;&gt;"",$D34&lt;&gt;"Examen partiel (ne relance pas)"),IF($A34&lt;=TODAY(),$A34,0),0)</f>
      </c>
      <c r="M34" s="20">
        <f>IF($L34=0,"",$B34&amp;"|"&amp;$L34)</f>
      </c>
    </row>
    <row r="35" spans="1:13" x14ac:dyDescent="0.25">
      <c r="A35" s="24"/>
      <c r="B35" s="9"/>
      <c r="C35" s="20">
        <f>IF($B35="","",IFERROR(INDEX(Parc!$B$2:$B$301,MATCH($B35,Parc!$A$2:$A$301,0)),"Réf. inconnue"))</f>
      </c>
      <c r="D35" s="9"/>
      <c r="E35" s="9"/>
      <c r="F35" s="9"/>
      <c r="G35" s="9"/>
      <c r="H35" s="9"/>
      <c r="I35" s="24"/>
      <c r="J35" s="9"/>
      <c r="K35" s="9"/>
      <c r="L35" s="20">
        <f>IF(AND(ISNUMBER($A35),$B35&lt;&gt;"",$D35&lt;&gt;"Examen partiel (ne relance pas)"),IF($A35&lt;=TODAY(),$A35,0),0)</f>
      </c>
      <c r="M35" s="20">
        <f>IF($L35=0,"",$B35&amp;"|"&amp;$L35)</f>
      </c>
    </row>
    <row r="36" spans="1:13" x14ac:dyDescent="0.25">
      <c r="A36" s="24"/>
      <c r="B36" s="9"/>
      <c r="C36" s="20">
        <f>IF($B36="","",IFERROR(INDEX(Parc!$B$2:$B$301,MATCH($B36,Parc!$A$2:$A$301,0)),"Réf. inconnue"))</f>
      </c>
      <c r="D36" s="9"/>
      <c r="E36" s="9"/>
      <c r="F36" s="9"/>
      <c r="G36" s="9"/>
      <c r="H36" s="9"/>
      <c r="I36" s="24"/>
      <c r="J36" s="9"/>
      <c r="K36" s="9"/>
      <c r="L36" s="20">
        <f>IF(AND(ISNUMBER($A36),$B36&lt;&gt;"",$D36&lt;&gt;"Examen partiel (ne relance pas)"),IF($A36&lt;=TODAY(),$A36,0),0)</f>
      </c>
      <c r="M36" s="20">
        <f>IF($L36=0,"",$B36&amp;"|"&amp;$L36)</f>
      </c>
    </row>
    <row r="37" spans="1:13" x14ac:dyDescent="0.25">
      <c r="A37" s="24"/>
      <c r="B37" s="9"/>
      <c r="C37" s="20">
        <f>IF($B37="","",IFERROR(INDEX(Parc!$B$2:$B$301,MATCH($B37,Parc!$A$2:$A$301,0)),"Réf. inconnue"))</f>
      </c>
      <c r="D37" s="9"/>
      <c r="E37" s="9"/>
      <c r="F37" s="9"/>
      <c r="G37" s="9"/>
      <c r="H37" s="9"/>
      <c r="I37" s="24"/>
      <c r="J37" s="9"/>
      <c r="K37" s="9"/>
      <c r="L37" s="20">
        <f>IF(AND(ISNUMBER($A37),$B37&lt;&gt;"",$D37&lt;&gt;"Examen partiel (ne relance pas)"),IF($A37&lt;=TODAY(),$A37,0),0)</f>
      </c>
      <c r="M37" s="20">
        <f>IF($L37=0,"",$B37&amp;"|"&amp;$L37)</f>
      </c>
    </row>
    <row r="38" spans="1:13" x14ac:dyDescent="0.25">
      <c r="A38" s="24"/>
      <c r="B38" s="9"/>
      <c r="C38" s="20">
        <f>IF($B38="","",IFERROR(INDEX(Parc!$B$2:$B$301,MATCH($B38,Parc!$A$2:$A$301,0)),"Réf. inconnue"))</f>
      </c>
      <c r="D38" s="9"/>
      <c r="E38" s="9"/>
      <c r="F38" s="9"/>
      <c r="G38" s="9"/>
      <c r="H38" s="9"/>
      <c r="I38" s="24"/>
      <c r="J38" s="9"/>
      <c r="K38" s="9"/>
      <c r="L38" s="20">
        <f>IF(AND(ISNUMBER($A38),$B38&lt;&gt;"",$D38&lt;&gt;"Examen partiel (ne relance pas)"),IF($A38&lt;=TODAY(),$A38,0),0)</f>
      </c>
      <c r="M38" s="20">
        <f>IF($L38=0,"",$B38&amp;"|"&amp;$L38)</f>
      </c>
    </row>
    <row r="39" spans="1:13" x14ac:dyDescent="0.25">
      <c r="A39" s="24"/>
      <c r="B39" s="9"/>
      <c r="C39" s="20">
        <f>IF($B39="","",IFERROR(INDEX(Parc!$B$2:$B$301,MATCH($B39,Parc!$A$2:$A$301,0)),"Réf. inconnue"))</f>
      </c>
      <c r="D39" s="9"/>
      <c r="E39" s="9"/>
      <c r="F39" s="9"/>
      <c r="G39" s="9"/>
      <c r="H39" s="9"/>
      <c r="I39" s="24"/>
      <c r="J39" s="9"/>
      <c r="K39" s="9"/>
      <c r="L39" s="20">
        <f>IF(AND(ISNUMBER($A39),$B39&lt;&gt;"",$D39&lt;&gt;"Examen partiel (ne relance pas)"),IF($A39&lt;=TODAY(),$A39,0),0)</f>
      </c>
      <c r="M39" s="20">
        <f>IF($L39=0,"",$B39&amp;"|"&amp;$L39)</f>
      </c>
    </row>
    <row r="40" spans="1:13" x14ac:dyDescent="0.25">
      <c r="A40" s="24"/>
      <c r="B40" s="9"/>
      <c r="C40" s="20">
        <f>IF($B40="","",IFERROR(INDEX(Parc!$B$2:$B$301,MATCH($B40,Parc!$A$2:$A$301,0)),"Réf. inconnue"))</f>
      </c>
      <c r="D40" s="9"/>
      <c r="E40" s="9"/>
      <c r="F40" s="9"/>
      <c r="G40" s="9"/>
      <c r="H40" s="9"/>
      <c r="I40" s="24"/>
      <c r="J40" s="9"/>
      <c r="K40" s="9"/>
      <c r="L40" s="20">
        <f>IF(AND(ISNUMBER($A40),$B40&lt;&gt;"",$D40&lt;&gt;"Examen partiel (ne relance pas)"),IF($A40&lt;=TODAY(),$A40,0),0)</f>
      </c>
      <c r="M40" s="20">
        <f>IF($L40=0,"",$B40&amp;"|"&amp;$L40)</f>
      </c>
    </row>
    <row r="41" spans="1:13" x14ac:dyDescent="0.25">
      <c r="A41" s="24"/>
      <c r="B41" s="9"/>
      <c r="C41" s="20">
        <f>IF($B41="","",IFERROR(INDEX(Parc!$B$2:$B$301,MATCH($B41,Parc!$A$2:$A$301,0)),"Réf. inconnue"))</f>
      </c>
      <c r="D41" s="9"/>
      <c r="E41" s="9"/>
      <c r="F41" s="9"/>
      <c r="G41" s="9"/>
      <c r="H41" s="9"/>
      <c r="I41" s="24"/>
      <c r="J41" s="9"/>
      <c r="K41" s="9"/>
      <c r="L41" s="20">
        <f>IF(AND(ISNUMBER($A41),$B41&lt;&gt;"",$D41&lt;&gt;"Examen partiel (ne relance pas)"),IF($A41&lt;=TODAY(),$A41,0),0)</f>
      </c>
      <c r="M41" s="20">
        <f>IF($L41=0,"",$B41&amp;"|"&amp;$L41)</f>
      </c>
    </row>
    <row r="42" spans="1:13" x14ac:dyDescent="0.25">
      <c r="A42" s="24"/>
      <c r="B42" s="9"/>
      <c r="C42" s="20">
        <f>IF($B42="","",IFERROR(INDEX(Parc!$B$2:$B$301,MATCH($B42,Parc!$A$2:$A$301,0)),"Réf. inconnue"))</f>
      </c>
      <c r="D42" s="9"/>
      <c r="E42" s="9"/>
      <c r="F42" s="9"/>
      <c r="G42" s="9"/>
      <c r="H42" s="9"/>
      <c r="I42" s="24"/>
      <c r="J42" s="9"/>
      <c r="K42" s="9"/>
      <c r="L42" s="20">
        <f>IF(AND(ISNUMBER($A42),$B42&lt;&gt;"",$D42&lt;&gt;"Examen partiel (ne relance pas)"),IF($A42&lt;=TODAY(),$A42,0),0)</f>
      </c>
      <c r="M42" s="20">
        <f>IF($L42=0,"",$B42&amp;"|"&amp;$L42)</f>
      </c>
    </row>
    <row r="43" spans="1:13" x14ac:dyDescent="0.25">
      <c r="A43" s="24"/>
      <c r="B43" s="9"/>
      <c r="C43" s="20">
        <f>IF($B43="","",IFERROR(INDEX(Parc!$B$2:$B$301,MATCH($B43,Parc!$A$2:$A$301,0)),"Réf. inconnue"))</f>
      </c>
      <c r="D43" s="9"/>
      <c r="E43" s="9"/>
      <c r="F43" s="9"/>
      <c r="G43" s="9"/>
      <c r="H43" s="9"/>
      <c r="I43" s="24"/>
      <c r="J43" s="9"/>
      <c r="K43" s="9"/>
      <c r="L43" s="20">
        <f>IF(AND(ISNUMBER($A43),$B43&lt;&gt;"",$D43&lt;&gt;"Examen partiel (ne relance pas)"),IF($A43&lt;=TODAY(),$A43,0),0)</f>
      </c>
      <c r="M43" s="20">
        <f>IF($L43=0,"",$B43&amp;"|"&amp;$L43)</f>
      </c>
    </row>
    <row r="44" spans="1:13" x14ac:dyDescent="0.25">
      <c r="A44" s="24"/>
      <c r="B44" s="9"/>
      <c r="C44" s="20">
        <f>IF($B44="","",IFERROR(INDEX(Parc!$B$2:$B$301,MATCH($B44,Parc!$A$2:$A$301,0)),"Réf. inconnue"))</f>
      </c>
      <c r="D44" s="9"/>
      <c r="E44" s="9"/>
      <c r="F44" s="9"/>
      <c r="G44" s="9"/>
      <c r="H44" s="9"/>
      <c r="I44" s="24"/>
      <c r="J44" s="9"/>
      <c r="K44" s="9"/>
      <c r="L44" s="20">
        <f>IF(AND(ISNUMBER($A44),$B44&lt;&gt;"",$D44&lt;&gt;"Examen partiel (ne relance pas)"),IF($A44&lt;=TODAY(),$A44,0),0)</f>
      </c>
      <c r="M44" s="20">
        <f>IF($L44=0,"",$B44&amp;"|"&amp;$L44)</f>
      </c>
    </row>
    <row r="45" spans="1:13" x14ac:dyDescent="0.25">
      <c r="A45" s="24"/>
      <c r="B45" s="9"/>
      <c r="C45" s="20">
        <f>IF($B45="","",IFERROR(INDEX(Parc!$B$2:$B$301,MATCH($B45,Parc!$A$2:$A$301,0)),"Réf. inconnue"))</f>
      </c>
      <c r="D45" s="9"/>
      <c r="E45" s="9"/>
      <c r="F45" s="9"/>
      <c r="G45" s="9"/>
      <c r="H45" s="9"/>
      <c r="I45" s="24"/>
      <c r="J45" s="9"/>
      <c r="K45" s="9"/>
      <c r="L45" s="20">
        <f>IF(AND(ISNUMBER($A45),$B45&lt;&gt;"",$D45&lt;&gt;"Examen partiel (ne relance pas)"),IF($A45&lt;=TODAY(),$A45,0),0)</f>
      </c>
      <c r="M45" s="20">
        <f>IF($L45=0,"",$B45&amp;"|"&amp;$L45)</f>
      </c>
    </row>
    <row r="46" spans="1:13" x14ac:dyDescent="0.25">
      <c r="A46" s="24"/>
      <c r="B46" s="9"/>
      <c r="C46" s="20">
        <f>IF($B46="","",IFERROR(INDEX(Parc!$B$2:$B$301,MATCH($B46,Parc!$A$2:$A$301,0)),"Réf. inconnue"))</f>
      </c>
      <c r="D46" s="9"/>
      <c r="E46" s="9"/>
      <c r="F46" s="9"/>
      <c r="G46" s="9"/>
      <c r="H46" s="9"/>
      <c r="I46" s="24"/>
      <c r="J46" s="9"/>
      <c r="K46" s="9"/>
      <c r="L46" s="20">
        <f>IF(AND(ISNUMBER($A46),$B46&lt;&gt;"",$D46&lt;&gt;"Examen partiel (ne relance pas)"),IF($A46&lt;=TODAY(),$A46,0),0)</f>
      </c>
      <c r="M46" s="20">
        <f>IF($L46=0,"",$B46&amp;"|"&amp;$L46)</f>
      </c>
    </row>
    <row r="47" spans="1:13" x14ac:dyDescent="0.25">
      <c r="A47" s="24"/>
      <c r="B47" s="9"/>
      <c r="C47" s="20">
        <f>IF($B47="","",IFERROR(INDEX(Parc!$B$2:$B$301,MATCH($B47,Parc!$A$2:$A$301,0)),"Réf. inconnue"))</f>
      </c>
      <c r="D47" s="9"/>
      <c r="E47" s="9"/>
      <c r="F47" s="9"/>
      <c r="G47" s="9"/>
      <c r="H47" s="9"/>
      <c r="I47" s="24"/>
      <c r="J47" s="9"/>
      <c r="K47" s="9"/>
      <c r="L47" s="20">
        <f>IF(AND(ISNUMBER($A47),$B47&lt;&gt;"",$D47&lt;&gt;"Examen partiel (ne relance pas)"),IF($A47&lt;=TODAY(),$A47,0),0)</f>
      </c>
      <c r="M47" s="20">
        <f>IF($L47=0,"",$B47&amp;"|"&amp;$L47)</f>
      </c>
    </row>
    <row r="48" spans="1:13" x14ac:dyDescent="0.25">
      <c r="A48" s="24"/>
      <c r="B48" s="9"/>
      <c r="C48" s="20">
        <f>IF($B48="","",IFERROR(INDEX(Parc!$B$2:$B$301,MATCH($B48,Parc!$A$2:$A$301,0)),"Réf. inconnue"))</f>
      </c>
      <c r="D48" s="9"/>
      <c r="E48" s="9"/>
      <c r="F48" s="9"/>
      <c r="G48" s="9"/>
      <c r="H48" s="9"/>
      <c r="I48" s="24"/>
      <c r="J48" s="9"/>
      <c r="K48" s="9"/>
      <c r="L48" s="20">
        <f>IF(AND(ISNUMBER($A48),$B48&lt;&gt;"",$D48&lt;&gt;"Examen partiel (ne relance pas)"),IF($A48&lt;=TODAY(),$A48,0),0)</f>
      </c>
      <c r="M48" s="20">
        <f>IF($L48=0,"",$B48&amp;"|"&amp;$L48)</f>
      </c>
    </row>
    <row r="49" spans="1:13" x14ac:dyDescent="0.25">
      <c r="A49" s="24"/>
      <c r="B49" s="9"/>
      <c r="C49" s="20">
        <f>IF($B49="","",IFERROR(INDEX(Parc!$B$2:$B$301,MATCH($B49,Parc!$A$2:$A$301,0)),"Réf. inconnue"))</f>
      </c>
      <c r="D49" s="9"/>
      <c r="E49" s="9"/>
      <c r="F49" s="9"/>
      <c r="G49" s="9"/>
      <c r="H49" s="9"/>
      <c r="I49" s="24"/>
      <c r="J49" s="9"/>
      <c r="K49" s="9"/>
      <c r="L49" s="20">
        <f>IF(AND(ISNUMBER($A49),$B49&lt;&gt;"",$D49&lt;&gt;"Examen partiel (ne relance pas)"),IF($A49&lt;=TODAY(),$A49,0),0)</f>
      </c>
      <c r="M49" s="20">
        <f>IF($L49=0,"",$B49&amp;"|"&amp;$L49)</f>
      </c>
    </row>
    <row r="50" spans="1:13" x14ac:dyDescent="0.25">
      <c r="A50" s="24"/>
      <c r="B50" s="9"/>
      <c r="C50" s="20">
        <f>IF($B50="","",IFERROR(INDEX(Parc!$B$2:$B$301,MATCH($B50,Parc!$A$2:$A$301,0)),"Réf. inconnue"))</f>
      </c>
      <c r="D50" s="9"/>
      <c r="E50" s="9"/>
      <c r="F50" s="9"/>
      <c r="G50" s="9"/>
      <c r="H50" s="9"/>
      <c r="I50" s="24"/>
      <c r="J50" s="9"/>
      <c r="K50" s="9"/>
      <c r="L50" s="20">
        <f>IF(AND(ISNUMBER($A50),$B50&lt;&gt;"",$D50&lt;&gt;"Examen partiel (ne relance pas)"),IF($A50&lt;=TODAY(),$A50,0),0)</f>
      </c>
      <c r="M50" s="20">
        <f>IF($L50=0,"",$B50&amp;"|"&amp;$L50)</f>
      </c>
    </row>
    <row r="51" spans="1:13" x14ac:dyDescent="0.25">
      <c r="A51" s="24"/>
      <c r="B51" s="9"/>
      <c r="C51" s="20">
        <f>IF($B51="","",IFERROR(INDEX(Parc!$B$2:$B$301,MATCH($B51,Parc!$A$2:$A$301,0)),"Réf. inconnue"))</f>
      </c>
      <c r="D51" s="9"/>
      <c r="E51" s="9"/>
      <c r="F51" s="9"/>
      <c r="G51" s="9"/>
      <c r="H51" s="9"/>
      <c r="I51" s="24"/>
      <c r="J51" s="9"/>
      <c r="K51" s="9"/>
      <c r="L51" s="20">
        <f>IF(AND(ISNUMBER($A51),$B51&lt;&gt;"",$D51&lt;&gt;"Examen partiel (ne relance pas)"),IF($A51&lt;=TODAY(),$A51,0),0)</f>
      </c>
      <c r="M51" s="20">
        <f>IF($L51=0,"",$B51&amp;"|"&amp;$L51)</f>
      </c>
    </row>
    <row r="52" spans="1:13" x14ac:dyDescent="0.25">
      <c r="A52" s="24"/>
      <c r="B52" s="9"/>
      <c r="C52" s="20">
        <f>IF($B52="","",IFERROR(INDEX(Parc!$B$2:$B$301,MATCH($B52,Parc!$A$2:$A$301,0)),"Réf. inconnue"))</f>
      </c>
      <c r="D52" s="9"/>
      <c r="E52" s="9"/>
      <c r="F52" s="9"/>
      <c r="G52" s="9"/>
      <c r="H52" s="9"/>
      <c r="I52" s="24"/>
      <c r="J52" s="9"/>
      <c r="K52" s="9"/>
      <c r="L52" s="20">
        <f>IF(AND(ISNUMBER($A52),$B52&lt;&gt;"",$D52&lt;&gt;"Examen partiel (ne relance pas)"),IF($A52&lt;=TODAY(),$A52,0),0)</f>
      </c>
      <c r="M52" s="20">
        <f>IF($L52=0,"",$B52&amp;"|"&amp;$L52)</f>
      </c>
    </row>
    <row r="53" spans="1:13" x14ac:dyDescent="0.25">
      <c r="A53" s="24"/>
      <c r="B53" s="9"/>
      <c r="C53" s="20">
        <f>IF($B53="","",IFERROR(INDEX(Parc!$B$2:$B$301,MATCH($B53,Parc!$A$2:$A$301,0)),"Réf. inconnue"))</f>
      </c>
      <c r="D53" s="9"/>
      <c r="E53" s="9"/>
      <c r="F53" s="9"/>
      <c r="G53" s="9"/>
      <c r="H53" s="9"/>
      <c r="I53" s="24"/>
      <c r="J53" s="9"/>
      <c r="K53" s="9"/>
      <c r="L53" s="20">
        <f>IF(AND(ISNUMBER($A53),$B53&lt;&gt;"",$D53&lt;&gt;"Examen partiel (ne relance pas)"),IF($A53&lt;=TODAY(),$A53,0),0)</f>
      </c>
      <c r="M53" s="20">
        <f>IF($L53=0,"",$B53&amp;"|"&amp;$L53)</f>
      </c>
    </row>
    <row r="54" spans="1:13" x14ac:dyDescent="0.25">
      <c r="A54" s="24"/>
      <c r="B54" s="9"/>
      <c r="C54" s="20">
        <f>IF($B54="","",IFERROR(INDEX(Parc!$B$2:$B$301,MATCH($B54,Parc!$A$2:$A$301,0)),"Réf. inconnue"))</f>
      </c>
      <c r="D54" s="9"/>
      <c r="E54" s="9"/>
      <c r="F54" s="9"/>
      <c r="G54" s="9"/>
      <c r="H54" s="9"/>
      <c r="I54" s="24"/>
      <c r="J54" s="9"/>
      <c r="K54" s="9"/>
      <c r="L54" s="20">
        <f>IF(AND(ISNUMBER($A54),$B54&lt;&gt;"",$D54&lt;&gt;"Examen partiel (ne relance pas)"),IF($A54&lt;=TODAY(),$A54,0),0)</f>
      </c>
      <c r="M54" s="20">
        <f>IF($L54=0,"",$B54&amp;"|"&amp;$L54)</f>
      </c>
    </row>
    <row r="55" spans="1:13" x14ac:dyDescent="0.25">
      <c r="A55" s="24"/>
      <c r="B55" s="9"/>
      <c r="C55" s="20">
        <f>IF($B55="","",IFERROR(INDEX(Parc!$B$2:$B$301,MATCH($B55,Parc!$A$2:$A$301,0)),"Réf. inconnue"))</f>
      </c>
      <c r="D55" s="9"/>
      <c r="E55" s="9"/>
      <c r="F55" s="9"/>
      <c r="G55" s="9"/>
      <c r="H55" s="9"/>
      <c r="I55" s="24"/>
      <c r="J55" s="9"/>
      <c r="K55" s="9"/>
      <c r="L55" s="20">
        <f>IF(AND(ISNUMBER($A55),$B55&lt;&gt;"",$D55&lt;&gt;"Examen partiel (ne relance pas)"),IF($A55&lt;=TODAY(),$A55,0),0)</f>
      </c>
      <c r="M55" s="20">
        <f>IF($L55=0,"",$B55&amp;"|"&amp;$L55)</f>
      </c>
    </row>
    <row r="56" spans="1:13" x14ac:dyDescent="0.25">
      <c r="A56" s="24"/>
      <c r="B56" s="9"/>
      <c r="C56" s="20">
        <f>IF($B56="","",IFERROR(INDEX(Parc!$B$2:$B$301,MATCH($B56,Parc!$A$2:$A$301,0)),"Réf. inconnue"))</f>
      </c>
      <c r="D56" s="9"/>
      <c r="E56" s="9"/>
      <c r="F56" s="9"/>
      <c r="G56" s="9"/>
      <c r="H56" s="9"/>
      <c r="I56" s="24"/>
      <c r="J56" s="9"/>
      <c r="K56" s="9"/>
      <c r="L56" s="20">
        <f>IF(AND(ISNUMBER($A56),$B56&lt;&gt;"",$D56&lt;&gt;"Examen partiel (ne relance pas)"),IF($A56&lt;=TODAY(),$A56,0),0)</f>
      </c>
      <c r="M56" s="20">
        <f>IF($L56=0,"",$B56&amp;"|"&amp;$L56)</f>
      </c>
    </row>
    <row r="57" spans="1:13" x14ac:dyDescent="0.25">
      <c r="A57" s="24"/>
      <c r="B57" s="9"/>
      <c r="C57" s="20">
        <f>IF($B57="","",IFERROR(INDEX(Parc!$B$2:$B$301,MATCH($B57,Parc!$A$2:$A$301,0)),"Réf. inconnue"))</f>
      </c>
      <c r="D57" s="9"/>
      <c r="E57" s="9"/>
      <c r="F57" s="9"/>
      <c r="G57" s="9"/>
      <c r="H57" s="9"/>
      <c r="I57" s="24"/>
      <c r="J57" s="9"/>
      <c r="K57" s="9"/>
      <c r="L57" s="20">
        <f>IF(AND(ISNUMBER($A57),$B57&lt;&gt;"",$D57&lt;&gt;"Examen partiel (ne relance pas)"),IF($A57&lt;=TODAY(),$A57,0),0)</f>
      </c>
      <c r="M57" s="20">
        <f>IF($L57=0,"",$B57&amp;"|"&amp;$L57)</f>
      </c>
    </row>
    <row r="58" spans="1:13" x14ac:dyDescent="0.25">
      <c r="A58" s="24"/>
      <c r="B58" s="9"/>
      <c r="C58" s="20">
        <f>IF($B58="","",IFERROR(INDEX(Parc!$B$2:$B$301,MATCH($B58,Parc!$A$2:$A$301,0)),"Réf. inconnue"))</f>
      </c>
      <c r="D58" s="9"/>
      <c r="E58" s="9"/>
      <c r="F58" s="9"/>
      <c r="G58" s="9"/>
      <c r="H58" s="9"/>
      <c r="I58" s="24"/>
      <c r="J58" s="9"/>
      <c r="K58" s="9"/>
      <c r="L58" s="20">
        <f>IF(AND(ISNUMBER($A58),$B58&lt;&gt;"",$D58&lt;&gt;"Examen partiel (ne relance pas)"),IF($A58&lt;=TODAY(),$A58,0),0)</f>
      </c>
      <c r="M58" s="20">
        <f>IF($L58=0,"",$B58&amp;"|"&amp;$L58)</f>
      </c>
    </row>
    <row r="59" spans="1:13" x14ac:dyDescent="0.25">
      <c r="A59" s="24"/>
      <c r="B59" s="9"/>
      <c r="C59" s="20">
        <f>IF($B59="","",IFERROR(INDEX(Parc!$B$2:$B$301,MATCH($B59,Parc!$A$2:$A$301,0)),"Réf. inconnue"))</f>
      </c>
      <c r="D59" s="9"/>
      <c r="E59" s="9"/>
      <c r="F59" s="9"/>
      <c r="G59" s="9"/>
      <c r="H59" s="9"/>
      <c r="I59" s="24"/>
      <c r="J59" s="9"/>
      <c r="K59" s="9"/>
      <c r="L59" s="20">
        <f>IF(AND(ISNUMBER($A59),$B59&lt;&gt;"",$D59&lt;&gt;"Examen partiel (ne relance pas)"),IF($A59&lt;=TODAY(),$A59,0),0)</f>
      </c>
      <c r="M59" s="20">
        <f>IF($L59=0,"",$B59&amp;"|"&amp;$L59)</f>
      </c>
    </row>
    <row r="60" spans="1:13" x14ac:dyDescent="0.25">
      <c r="A60" s="24"/>
      <c r="B60" s="9"/>
      <c r="C60" s="20">
        <f>IF($B60="","",IFERROR(INDEX(Parc!$B$2:$B$301,MATCH($B60,Parc!$A$2:$A$301,0)),"Réf. inconnue"))</f>
      </c>
      <c r="D60" s="9"/>
      <c r="E60" s="9"/>
      <c r="F60" s="9"/>
      <c r="G60" s="9"/>
      <c r="H60" s="9"/>
      <c r="I60" s="24"/>
      <c r="J60" s="9"/>
      <c r="K60" s="9"/>
      <c r="L60" s="20">
        <f>IF(AND(ISNUMBER($A60),$B60&lt;&gt;"",$D60&lt;&gt;"Examen partiel (ne relance pas)"),IF($A60&lt;=TODAY(),$A60,0),0)</f>
      </c>
      <c r="M60" s="20">
        <f>IF($L60=0,"",$B60&amp;"|"&amp;$L60)</f>
      </c>
    </row>
    <row r="61" spans="1:13" x14ac:dyDescent="0.25">
      <c r="A61" s="24"/>
      <c r="B61" s="9"/>
      <c r="C61" s="20">
        <f>IF($B61="","",IFERROR(INDEX(Parc!$B$2:$B$301,MATCH($B61,Parc!$A$2:$A$301,0)),"Réf. inconnue"))</f>
      </c>
      <c r="D61" s="9"/>
      <c r="E61" s="9"/>
      <c r="F61" s="9"/>
      <c r="G61" s="9"/>
      <c r="H61" s="9"/>
      <c r="I61" s="24"/>
      <c r="J61" s="9"/>
      <c r="K61" s="9"/>
      <c r="L61" s="20">
        <f>IF(AND(ISNUMBER($A61),$B61&lt;&gt;"",$D61&lt;&gt;"Examen partiel (ne relance pas)"),IF($A61&lt;=TODAY(),$A61,0),0)</f>
      </c>
      <c r="M61" s="20">
        <f>IF($L61=0,"",$B61&amp;"|"&amp;$L61)</f>
      </c>
    </row>
    <row r="62" spans="1:13" x14ac:dyDescent="0.25">
      <c r="A62" s="24"/>
      <c r="B62" s="9"/>
      <c r="C62" s="20">
        <f>IF($B62="","",IFERROR(INDEX(Parc!$B$2:$B$301,MATCH($B62,Parc!$A$2:$A$301,0)),"Réf. inconnue"))</f>
      </c>
      <c r="D62" s="9"/>
      <c r="E62" s="9"/>
      <c r="F62" s="9"/>
      <c r="G62" s="9"/>
      <c r="H62" s="9"/>
      <c r="I62" s="24"/>
      <c r="J62" s="9"/>
      <c r="K62" s="9"/>
      <c r="L62" s="20">
        <f>IF(AND(ISNUMBER($A62),$B62&lt;&gt;"",$D62&lt;&gt;"Examen partiel (ne relance pas)"),IF($A62&lt;=TODAY(),$A62,0),0)</f>
      </c>
      <c r="M62" s="20">
        <f>IF($L62=0,"",$B62&amp;"|"&amp;$L62)</f>
      </c>
    </row>
    <row r="63" spans="1:13" x14ac:dyDescent="0.25">
      <c r="A63" s="24"/>
      <c r="B63" s="9"/>
      <c r="C63" s="20">
        <f>IF($B63="","",IFERROR(INDEX(Parc!$B$2:$B$301,MATCH($B63,Parc!$A$2:$A$301,0)),"Réf. inconnue"))</f>
      </c>
      <c r="D63" s="9"/>
      <c r="E63" s="9"/>
      <c r="F63" s="9"/>
      <c r="G63" s="9"/>
      <c r="H63" s="9"/>
      <c r="I63" s="24"/>
      <c r="J63" s="9"/>
      <c r="K63" s="9"/>
      <c r="L63" s="20">
        <f>IF(AND(ISNUMBER($A63),$B63&lt;&gt;"",$D63&lt;&gt;"Examen partiel (ne relance pas)"),IF($A63&lt;=TODAY(),$A63,0),0)</f>
      </c>
      <c r="M63" s="20">
        <f>IF($L63=0,"",$B63&amp;"|"&amp;$L63)</f>
      </c>
    </row>
    <row r="64" spans="1:13" x14ac:dyDescent="0.25">
      <c r="A64" s="24"/>
      <c r="B64" s="9"/>
      <c r="C64" s="20">
        <f>IF($B64="","",IFERROR(INDEX(Parc!$B$2:$B$301,MATCH($B64,Parc!$A$2:$A$301,0)),"Réf. inconnue"))</f>
      </c>
      <c r="D64" s="9"/>
      <c r="E64" s="9"/>
      <c r="F64" s="9"/>
      <c r="G64" s="9"/>
      <c r="H64" s="9"/>
      <c r="I64" s="24"/>
      <c r="J64" s="9"/>
      <c r="K64" s="9"/>
      <c r="L64" s="20">
        <f>IF(AND(ISNUMBER($A64),$B64&lt;&gt;"",$D64&lt;&gt;"Examen partiel (ne relance pas)"),IF($A64&lt;=TODAY(),$A64,0),0)</f>
      </c>
      <c r="M64" s="20">
        <f>IF($L64=0,"",$B64&amp;"|"&amp;$L64)</f>
      </c>
    </row>
    <row r="65" spans="1:13" x14ac:dyDescent="0.25">
      <c r="A65" s="24"/>
      <c r="B65" s="9"/>
      <c r="C65" s="20">
        <f>IF($B65="","",IFERROR(INDEX(Parc!$B$2:$B$301,MATCH($B65,Parc!$A$2:$A$301,0)),"Réf. inconnue"))</f>
      </c>
      <c r="D65" s="9"/>
      <c r="E65" s="9"/>
      <c r="F65" s="9"/>
      <c r="G65" s="9"/>
      <c r="H65" s="9"/>
      <c r="I65" s="24"/>
      <c r="J65" s="9"/>
      <c r="K65" s="9"/>
      <c r="L65" s="20">
        <f>IF(AND(ISNUMBER($A65),$B65&lt;&gt;"",$D65&lt;&gt;"Examen partiel (ne relance pas)"),IF($A65&lt;=TODAY(),$A65,0),0)</f>
      </c>
      <c r="M65" s="20">
        <f>IF($L65=0,"",$B65&amp;"|"&amp;$L65)</f>
      </c>
    </row>
    <row r="66" spans="1:13" x14ac:dyDescent="0.25">
      <c r="A66" s="24"/>
      <c r="B66" s="9"/>
      <c r="C66" s="20">
        <f>IF($B66="","",IFERROR(INDEX(Parc!$B$2:$B$301,MATCH($B66,Parc!$A$2:$A$301,0)),"Réf. inconnue"))</f>
      </c>
      <c r="D66" s="9"/>
      <c r="E66" s="9"/>
      <c r="F66" s="9"/>
      <c r="G66" s="9"/>
      <c r="H66" s="9"/>
      <c r="I66" s="24"/>
      <c r="J66" s="9"/>
      <c r="K66" s="9"/>
      <c r="L66" s="20">
        <f>IF(AND(ISNUMBER($A66),$B66&lt;&gt;"",$D66&lt;&gt;"Examen partiel (ne relance pas)"),IF($A66&lt;=TODAY(),$A66,0),0)</f>
      </c>
      <c r="M66" s="20">
        <f>IF($L66=0,"",$B66&amp;"|"&amp;$L66)</f>
      </c>
    </row>
    <row r="67" spans="1:13" x14ac:dyDescent="0.25">
      <c r="A67" s="24"/>
      <c r="B67" s="9"/>
      <c r="C67" s="20">
        <f>IF($B67="","",IFERROR(INDEX(Parc!$B$2:$B$301,MATCH($B67,Parc!$A$2:$A$301,0)),"Réf. inconnue"))</f>
      </c>
      <c r="D67" s="9"/>
      <c r="E67" s="9"/>
      <c r="F67" s="9"/>
      <c r="G67" s="9"/>
      <c r="H67" s="9"/>
      <c r="I67" s="24"/>
      <c r="J67" s="9"/>
      <c r="K67" s="9"/>
      <c r="L67" s="20">
        <f>IF(AND(ISNUMBER($A67),$B67&lt;&gt;"",$D67&lt;&gt;"Examen partiel (ne relance pas)"),IF($A67&lt;=TODAY(),$A67,0),0)</f>
      </c>
      <c r="M67" s="20">
        <f>IF($L67=0,"",$B67&amp;"|"&amp;$L67)</f>
      </c>
    </row>
    <row r="68" spans="1:13" x14ac:dyDescent="0.25">
      <c r="A68" s="24"/>
      <c r="B68" s="9"/>
      <c r="C68" s="20">
        <f>IF($B68="","",IFERROR(INDEX(Parc!$B$2:$B$301,MATCH($B68,Parc!$A$2:$A$301,0)),"Réf. inconnue"))</f>
      </c>
      <c r="D68" s="9"/>
      <c r="E68" s="9"/>
      <c r="F68" s="9"/>
      <c r="G68" s="9"/>
      <c r="H68" s="9"/>
      <c r="I68" s="24"/>
      <c r="J68" s="9"/>
      <c r="K68" s="9"/>
      <c r="L68" s="20">
        <f>IF(AND(ISNUMBER($A68),$B68&lt;&gt;"",$D68&lt;&gt;"Examen partiel (ne relance pas)"),IF($A68&lt;=TODAY(),$A68,0),0)</f>
      </c>
      <c r="M68" s="20">
        <f>IF($L68=0,"",$B68&amp;"|"&amp;$L68)</f>
      </c>
    </row>
    <row r="69" spans="1:13" x14ac:dyDescent="0.25">
      <c r="A69" s="24"/>
      <c r="B69" s="9"/>
      <c r="C69" s="20">
        <f>IF($B69="","",IFERROR(INDEX(Parc!$B$2:$B$301,MATCH($B69,Parc!$A$2:$A$301,0)),"Réf. inconnue"))</f>
      </c>
      <c r="D69" s="9"/>
      <c r="E69" s="9"/>
      <c r="F69" s="9"/>
      <c r="G69" s="9"/>
      <c r="H69" s="9"/>
      <c r="I69" s="24"/>
      <c r="J69" s="9"/>
      <c r="K69" s="9"/>
      <c r="L69" s="20">
        <f>IF(AND(ISNUMBER($A69),$B69&lt;&gt;"",$D69&lt;&gt;"Examen partiel (ne relance pas)"),IF($A69&lt;=TODAY(),$A69,0),0)</f>
      </c>
      <c r="M69" s="20">
        <f>IF($L69=0,"",$B69&amp;"|"&amp;$L69)</f>
      </c>
    </row>
    <row r="70" spans="1:13" x14ac:dyDescent="0.25">
      <c r="A70" s="24"/>
      <c r="B70" s="9"/>
      <c r="C70" s="20">
        <f>IF($B70="","",IFERROR(INDEX(Parc!$B$2:$B$301,MATCH($B70,Parc!$A$2:$A$301,0)),"Réf. inconnue"))</f>
      </c>
      <c r="D70" s="9"/>
      <c r="E70" s="9"/>
      <c r="F70" s="9"/>
      <c r="G70" s="9"/>
      <c r="H70" s="9"/>
      <c r="I70" s="24"/>
      <c r="J70" s="9"/>
      <c r="K70" s="9"/>
      <c r="L70" s="20">
        <f>IF(AND(ISNUMBER($A70),$B70&lt;&gt;"",$D70&lt;&gt;"Examen partiel (ne relance pas)"),IF($A70&lt;=TODAY(),$A70,0),0)</f>
      </c>
      <c r="M70" s="20">
        <f>IF($L70=0,"",$B70&amp;"|"&amp;$L70)</f>
      </c>
    </row>
    <row r="71" spans="1:13" x14ac:dyDescent="0.25">
      <c r="A71" s="24"/>
      <c r="B71" s="9"/>
      <c r="C71" s="20">
        <f>IF($B71="","",IFERROR(INDEX(Parc!$B$2:$B$301,MATCH($B71,Parc!$A$2:$A$301,0)),"Réf. inconnue"))</f>
      </c>
      <c r="D71" s="9"/>
      <c r="E71" s="9"/>
      <c r="F71" s="9"/>
      <c r="G71" s="9"/>
      <c r="H71" s="9"/>
      <c r="I71" s="24"/>
      <c r="J71" s="9"/>
      <c r="K71" s="9"/>
      <c r="L71" s="20">
        <f>IF(AND(ISNUMBER($A71),$B71&lt;&gt;"",$D71&lt;&gt;"Examen partiel (ne relance pas)"),IF($A71&lt;=TODAY(),$A71,0),0)</f>
      </c>
      <c r="M71" s="20">
        <f>IF($L71=0,"",$B71&amp;"|"&amp;$L71)</f>
      </c>
    </row>
    <row r="72" spans="1:13" x14ac:dyDescent="0.25">
      <c r="A72" s="24"/>
      <c r="B72" s="9"/>
      <c r="C72" s="20">
        <f>IF($B72="","",IFERROR(INDEX(Parc!$B$2:$B$301,MATCH($B72,Parc!$A$2:$A$301,0)),"Réf. inconnue"))</f>
      </c>
      <c r="D72" s="9"/>
      <c r="E72" s="9"/>
      <c r="F72" s="9"/>
      <c r="G72" s="9"/>
      <c r="H72" s="9"/>
      <c r="I72" s="24"/>
      <c r="J72" s="9"/>
      <c r="K72" s="9"/>
      <c r="L72" s="20">
        <f>IF(AND(ISNUMBER($A72),$B72&lt;&gt;"",$D72&lt;&gt;"Examen partiel (ne relance pas)"),IF($A72&lt;=TODAY(),$A72,0),0)</f>
      </c>
      <c r="M72" s="20">
        <f>IF($L72=0,"",$B72&amp;"|"&amp;$L72)</f>
      </c>
    </row>
    <row r="73" spans="1:13" x14ac:dyDescent="0.25">
      <c r="A73" s="24"/>
      <c r="B73" s="9"/>
      <c r="C73" s="20">
        <f>IF($B73="","",IFERROR(INDEX(Parc!$B$2:$B$301,MATCH($B73,Parc!$A$2:$A$301,0)),"Réf. inconnue"))</f>
      </c>
      <c r="D73" s="9"/>
      <c r="E73" s="9"/>
      <c r="F73" s="9"/>
      <c r="G73" s="9"/>
      <c r="H73" s="9"/>
      <c r="I73" s="24"/>
      <c r="J73" s="9"/>
      <c r="K73" s="9"/>
      <c r="L73" s="20">
        <f>IF(AND(ISNUMBER($A73),$B73&lt;&gt;"",$D73&lt;&gt;"Examen partiel (ne relance pas)"),IF($A73&lt;=TODAY(),$A73,0),0)</f>
      </c>
      <c r="M73" s="20">
        <f>IF($L73=0,"",$B73&amp;"|"&amp;$L73)</f>
      </c>
    </row>
    <row r="74" spans="1:13" x14ac:dyDescent="0.25">
      <c r="A74" s="24"/>
      <c r="B74" s="9"/>
      <c r="C74" s="20">
        <f>IF($B74="","",IFERROR(INDEX(Parc!$B$2:$B$301,MATCH($B74,Parc!$A$2:$A$301,0)),"Réf. inconnue"))</f>
      </c>
      <c r="D74" s="9"/>
      <c r="E74" s="9"/>
      <c r="F74" s="9"/>
      <c r="G74" s="9"/>
      <c r="H74" s="9"/>
      <c r="I74" s="24"/>
      <c r="J74" s="9"/>
      <c r="K74" s="9"/>
      <c r="L74" s="20">
        <f>IF(AND(ISNUMBER($A74),$B74&lt;&gt;"",$D74&lt;&gt;"Examen partiel (ne relance pas)"),IF($A74&lt;=TODAY(),$A74,0),0)</f>
      </c>
      <c r="M74" s="20">
        <f>IF($L74=0,"",$B74&amp;"|"&amp;$L74)</f>
      </c>
    </row>
    <row r="75" spans="1:13" x14ac:dyDescent="0.25">
      <c r="A75" s="24"/>
      <c r="B75" s="9"/>
      <c r="C75" s="20">
        <f>IF($B75="","",IFERROR(INDEX(Parc!$B$2:$B$301,MATCH($B75,Parc!$A$2:$A$301,0)),"Réf. inconnue"))</f>
      </c>
      <c r="D75" s="9"/>
      <c r="E75" s="9"/>
      <c r="F75" s="9"/>
      <c r="G75" s="9"/>
      <c r="H75" s="9"/>
      <c r="I75" s="24"/>
      <c r="J75" s="9"/>
      <c r="K75" s="9"/>
      <c r="L75" s="20">
        <f>IF(AND(ISNUMBER($A75),$B75&lt;&gt;"",$D75&lt;&gt;"Examen partiel (ne relance pas)"),IF($A75&lt;=TODAY(),$A75,0),0)</f>
      </c>
      <c r="M75" s="20">
        <f>IF($L75=0,"",$B75&amp;"|"&amp;$L75)</f>
      </c>
    </row>
    <row r="76" spans="1:13" x14ac:dyDescent="0.25">
      <c r="A76" s="24"/>
      <c r="B76" s="9"/>
      <c r="C76" s="20">
        <f>IF($B76="","",IFERROR(INDEX(Parc!$B$2:$B$301,MATCH($B76,Parc!$A$2:$A$301,0)),"Réf. inconnue"))</f>
      </c>
      <c r="D76" s="9"/>
      <c r="E76" s="9"/>
      <c r="F76" s="9"/>
      <c r="G76" s="9"/>
      <c r="H76" s="9"/>
      <c r="I76" s="24"/>
      <c r="J76" s="9"/>
      <c r="K76" s="9"/>
      <c r="L76" s="20">
        <f>IF(AND(ISNUMBER($A76),$B76&lt;&gt;"",$D76&lt;&gt;"Examen partiel (ne relance pas)"),IF($A76&lt;=TODAY(),$A76,0),0)</f>
      </c>
      <c r="M76" s="20">
        <f>IF($L76=0,"",$B76&amp;"|"&amp;$L76)</f>
      </c>
    </row>
    <row r="77" spans="1:13" x14ac:dyDescent="0.25">
      <c r="A77" s="24"/>
      <c r="B77" s="9"/>
      <c r="C77" s="20">
        <f>IF($B77="","",IFERROR(INDEX(Parc!$B$2:$B$301,MATCH($B77,Parc!$A$2:$A$301,0)),"Réf. inconnue"))</f>
      </c>
      <c r="D77" s="9"/>
      <c r="E77" s="9"/>
      <c r="F77" s="9"/>
      <c r="G77" s="9"/>
      <c r="H77" s="9"/>
      <c r="I77" s="24"/>
      <c r="J77" s="9"/>
      <c r="K77" s="9"/>
      <c r="L77" s="20">
        <f>IF(AND(ISNUMBER($A77),$B77&lt;&gt;"",$D77&lt;&gt;"Examen partiel (ne relance pas)"),IF($A77&lt;=TODAY(),$A77,0),0)</f>
      </c>
      <c r="M77" s="20">
        <f>IF($L77=0,"",$B77&amp;"|"&amp;$L77)</f>
      </c>
    </row>
    <row r="78" spans="1:13" x14ac:dyDescent="0.25">
      <c r="A78" s="24"/>
      <c r="B78" s="9"/>
      <c r="C78" s="20">
        <f>IF($B78="","",IFERROR(INDEX(Parc!$B$2:$B$301,MATCH($B78,Parc!$A$2:$A$301,0)),"Réf. inconnue"))</f>
      </c>
      <c r="D78" s="9"/>
      <c r="E78" s="9"/>
      <c r="F78" s="9"/>
      <c r="G78" s="9"/>
      <c r="H78" s="9"/>
      <c r="I78" s="24"/>
      <c r="J78" s="9"/>
      <c r="K78" s="9"/>
      <c r="L78" s="20">
        <f>IF(AND(ISNUMBER($A78),$B78&lt;&gt;"",$D78&lt;&gt;"Examen partiel (ne relance pas)"),IF($A78&lt;=TODAY(),$A78,0),0)</f>
      </c>
      <c r="M78" s="20">
        <f>IF($L78=0,"",$B78&amp;"|"&amp;$L78)</f>
      </c>
    </row>
    <row r="79" spans="1:13" x14ac:dyDescent="0.25">
      <c r="A79" s="24"/>
      <c r="B79" s="9"/>
      <c r="C79" s="20">
        <f>IF($B79="","",IFERROR(INDEX(Parc!$B$2:$B$301,MATCH($B79,Parc!$A$2:$A$301,0)),"Réf. inconnue"))</f>
      </c>
      <c r="D79" s="9"/>
      <c r="E79" s="9"/>
      <c r="F79" s="9"/>
      <c r="G79" s="9"/>
      <c r="H79" s="9"/>
      <c r="I79" s="24"/>
      <c r="J79" s="9"/>
      <c r="K79" s="9"/>
      <c r="L79" s="20">
        <f>IF(AND(ISNUMBER($A79),$B79&lt;&gt;"",$D79&lt;&gt;"Examen partiel (ne relance pas)"),IF($A79&lt;=TODAY(),$A79,0),0)</f>
      </c>
      <c r="M79" s="20">
        <f>IF($L79=0,"",$B79&amp;"|"&amp;$L79)</f>
      </c>
    </row>
    <row r="80" spans="1:13" x14ac:dyDescent="0.25">
      <c r="A80" s="24"/>
      <c r="B80" s="9"/>
      <c r="C80" s="20">
        <f>IF($B80="","",IFERROR(INDEX(Parc!$B$2:$B$301,MATCH($B80,Parc!$A$2:$A$301,0)),"Réf. inconnue"))</f>
      </c>
      <c r="D80" s="9"/>
      <c r="E80" s="9"/>
      <c r="F80" s="9"/>
      <c r="G80" s="9"/>
      <c r="H80" s="9"/>
      <c r="I80" s="24"/>
      <c r="J80" s="9"/>
      <c r="K80" s="9"/>
      <c r="L80" s="20">
        <f>IF(AND(ISNUMBER($A80),$B80&lt;&gt;"",$D80&lt;&gt;"Examen partiel (ne relance pas)"),IF($A80&lt;=TODAY(),$A80,0),0)</f>
      </c>
      <c r="M80" s="20">
        <f>IF($L80=0,"",$B80&amp;"|"&amp;$L80)</f>
      </c>
    </row>
    <row r="81" spans="1:13" x14ac:dyDescent="0.25">
      <c r="A81" s="24"/>
      <c r="B81" s="9"/>
      <c r="C81" s="20">
        <f>IF($B81="","",IFERROR(INDEX(Parc!$B$2:$B$301,MATCH($B81,Parc!$A$2:$A$301,0)),"Réf. inconnue"))</f>
      </c>
      <c r="D81" s="9"/>
      <c r="E81" s="9"/>
      <c r="F81" s="9"/>
      <c r="G81" s="9"/>
      <c r="H81" s="9"/>
      <c r="I81" s="24"/>
      <c r="J81" s="9"/>
      <c r="K81" s="9"/>
      <c r="L81" s="20">
        <f>IF(AND(ISNUMBER($A81),$B81&lt;&gt;"",$D81&lt;&gt;"Examen partiel (ne relance pas)"),IF($A81&lt;=TODAY(),$A81,0),0)</f>
      </c>
      <c r="M81" s="20">
        <f>IF($L81=0,"",$B81&amp;"|"&amp;$L81)</f>
      </c>
    </row>
    <row r="82" spans="1:13" x14ac:dyDescent="0.25">
      <c r="A82" s="24"/>
      <c r="B82" s="9"/>
      <c r="C82" s="20">
        <f>IF($B82="","",IFERROR(INDEX(Parc!$B$2:$B$301,MATCH($B82,Parc!$A$2:$A$301,0)),"Réf. inconnue"))</f>
      </c>
      <c r="D82" s="9"/>
      <c r="E82" s="9"/>
      <c r="F82" s="9"/>
      <c r="G82" s="9"/>
      <c r="H82" s="9"/>
      <c r="I82" s="24"/>
      <c r="J82" s="9"/>
      <c r="K82" s="9"/>
      <c r="L82" s="20">
        <f>IF(AND(ISNUMBER($A82),$B82&lt;&gt;"",$D82&lt;&gt;"Examen partiel (ne relance pas)"),IF($A82&lt;=TODAY(),$A82,0),0)</f>
      </c>
      <c r="M82" s="20">
        <f>IF($L82=0,"",$B82&amp;"|"&amp;$L82)</f>
      </c>
    </row>
    <row r="83" spans="1:13" x14ac:dyDescent="0.25">
      <c r="A83" s="24"/>
      <c r="B83" s="9"/>
      <c r="C83" s="20">
        <f>IF($B83="","",IFERROR(INDEX(Parc!$B$2:$B$301,MATCH($B83,Parc!$A$2:$A$301,0)),"Réf. inconnue"))</f>
      </c>
      <c r="D83" s="9"/>
      <c r="E83" s="9"/>
      <c r="F83" s="9"/>
      <c r="G83" s="9"/>
      <c r="H83" s="9"/>
      <c r="I83" s="24"/>
      <c r="J83" s="9"/>
      <c r="K83" s="9"/>
      <c r="L83" s="20">
        <f>IF(AND(ISNUMBER($A83),$B83&lt;&gt;"",$D83&lt;&gt;"Examen partiel (ne relance pas)"),IF($A83&lt;=TODAY(),$A83,0),0)</f>
      </c>
      <c r="M83" s="20">
        <f>IF($L83=0,"",$B83&amp;"|"&amp;$L83)</f>
      </c>
    </row>
    <row r="84" spans="1:13" x14ac:dyDescent="0.25">
      <c r="A84" s="24"/>
      <c r="B84" s="9"/>
      <c r="C84" s="20">
        <f>IF($B84="","",IFERROR(INDEX(Parc!$B$2:$B$301,MATCH($B84,Parc!$A$2:$A$301,0)),"Réf. inconnue"))</f>
      </c>
      <c r="D84" s="9"/>
      <c r="E84" s="9"/>
      <c r="F84" s="9"/>
      <c r="G84" s="9"/>
      <c r="H84" s="9"/>
      <c r="I84" s="24"/>
      <c r="J84" s="9"/>
      <c r="K84" s="9"/>
      <c r="L84" s="20">
        <f>IF(AND(ISNUMBER($A84),$B84&lt;&gt;"",$D84&lt;&gt;"Examen partiel (ne relance pas)"),IF($A84&lt;=TODAY(),$A84,0),0)</f>
      </c>
      <c r="M84" s="20">
        <f>IF($L84=0,"",$B84&amp;"|"&amp;$L84)</f>
      </c>
    </row>
    <row r="85" spans="1:13" x14ac:dyDescent="0.25">
      <c r="A85" s="24"/>
      <c r="B85" s="9"/>
      <c r="C85" s="20">
        <f>IF($B85="","",IFERROR(INDEX(Parc!$B$2:$B$301,MATCH($B85,Parc!$A$2:$A$301,0)),"Réf. inconnue"))</f>
      </c>
      <c r="D85" s="9"/>
      <c r="E85" s="9"/>
      <c r="F85" s="9"/>
      <c r="G85" s="9"/>
      <c r="H85" s="9"/>
      <c r="I85" s="24"/>
      <c r="J85" s="9"/>
      <c r="K85" s="9"/>
      <c r="L85" s="20">
        <f>IF(AND(ISNUMBER($A85),$B85&lt;&gt;"",$D85&lt;&gt;"Examen partiel (ne relance pas)"),IF($A85&lt;=TODAY(),$A85,0),0)</f>
      </c>
      <c r="M85" s="20">
        <f>IF($L85=0,"",$B85&amp;"|"&amp;$L85)</f>
      </c>
    </row>
    <row r="86" spans="1:13" x14ac:dyDescent="0.25">
      <c r="A86" s="24"/>
      <c r="B86" s="9"/>
      <c r="C86" s="20">
        <f>IF($B86="","",IFERROR(INDEX(Parc!$B$2:$B$301,MATCH($B86,Parc!$A$2:$A$301,0)),"Réf. inconnue"))</f>
      </c>
      <c r="D86" s="9"/>
      <c r="E86" s="9"/>
      <c r="F86" s="9"/>
      <c r="G86" s="9"/>
      <c r="H86" s="9"/>
      <c r="I86" s="24"/>
      <c r="J86" s="9"/>
      <c r="K86" s="9"/>
      <c r="L86" s="20">
        <f>IF(AND(ISNUMBER($A86),$B86&lt;&gt;"",$D86&lt;&gt;"Examen partiel (ne relance pas)"),IF($A86&lt;=TODAY(),$A86,0),0)</f>
      </c>
      <c r="M86" s="20">
        <f>IF($L86=0,"",$B86&amp;"|"&amp;$L86)</f>
      </c>
    </row>
    <row r="87" spans="1:13" x14ac:dyDescent="0.25">
      <c r="A87" s="24"/>
      <c r="B87" s="9"/>
      <c r="C87" s="20">
        <f>IF($B87="","",IFERROR(INDEX(Parc!$B$2:$B$301,MATCH($B87,Parc!$A$2:$A$301,0)),"Réf. inconnue"))</f>
      </c>
      <c r="D87" s="9"/>
      <c r="E87" s="9"/>
      <c r="F87" s="9"/>
      <c r="G87" s="9"/>
      <c r="H87" s="9"/>
      <c r="I87" s="24"/>
      <c r="J87" s="9"/>
      <c r="K87" s="9"/>
      <c r="L87" s="20">
        <f>IF(AND(ISNUMBER($A87),$B87&lt;&gt;"",$D87&lt;&gt;"Examen partiel (ne relance pas)"),IF($A87&lt;=TODAY(),$A87,0),0)</f>
      </c>
      <c r="M87" s="20">
        <f>IF($L87=0,"",$B87&amp;"|"&amp;$L87)</f>
      </c>
    </row>
    <row r="88" spans="1:13" x14ac:dyDescent="0.25">
      <c r="A88" s="24"/>
      <c r="B88" s="9"/>
      <c r="C88" s="20">
        <f>IF($B88="","",IFERROR(INDEX(Parc!$B$2:$B$301,MATCH($B88,Parc!$A$2:$A$301,0)),"Réf. inconnue"))</f>
      </c>
      <c r="D88" s="9"/>
      <c r="E88" s="9"/>
      <c r="F88" s="9"/>
      <c r="G88" s="9"/>
      <c r="H88" s="9"/>
      <c r="I88" s="24"/>
      <c r="J88" s="9"/>
      <c r="K88" s="9"/>
      <c r="L88" s="20">
        <f>IF(AND(ISNUMBER($A88),$B88&lt;&gt;"",$D88&lt;&gt;"Examen partiel (ne relance pas)"),IF($A88&lt;=TODAY(),$A88,0),0)</f>
      </c>
      <c r="M88" s="20">
        <f>IF($L88=0,"",$B88&amp;"|"&amp;$L88)</f>
      </c>
    </row>
    <row r="89" spans="1:13" x14ac:dyDescent="0.25">
      <c r="A89" s="24"/>
      <c r="B89" s="9"/>
      <c r="C89" s="20">
        <f>IF($B89="","",IFERROR(INDEX(Parc!$B$2:$B$301,MATCH($B89,Parc!$A$2:$A$301,0)),"Réf. inconnue"))</f>
      </c>
      <c r="D89" s="9"/>
      <c r="E89" s="9"/>
      <c r="F89" s="9"/>
      <c r="G89" s="9"/>
      <c r="H89" s="9"/>
      <c r="I89" s="24"/>
      <c r="J89" s="9"/>
      <c r="K89" s="9"/>
      <c r="L89" s="20">
        <f>IF(AND(ISNUMBER($A89),$B89&lt;&gt;"",$D89&lt;&gt;"Examen partiel (ne relance pas)"),IF($A89&lt;=TODAY(),$A89,0),0)</f>
      </c>
      <c r="M89" s="20">
        <f>IF($L89=0,"",$B89&amp;"|"&amp;$L89)</f>
      </c>
    </row>
    <row r="90" spans="1:13" x14ac:dyDescent="0.25">
      <c r="A90" s="24"/>
      <c r="B90" s="9"/>
      <c r="C90" s="20">
        <f>IF($B90="","",IFERROR(INDEX(Parc!$B$2:$B$301,MATCH($B90,Parc!$A$2:$A$301,0)),"Réf. inconnue"))</f>
      </c>
      <c r="D90" s="9"/>
      <c r="E90" s="9"/>
      <c r="F90" s="9"/>
      <c r="G90" s="9"/>
      <c r="H90" s="9"/>
      <c r="I90" s="24"/>
      <c r="J90" s="9"/>
      <c r="K90" s="9"/>
      <c r="L90" s="20">
        <f>IF(AND(ISNUMBER($A90),$B90&lt;&gt;"",$D90&lt;&gt;"Examen partiel (ne relance pas)"),IF($A90&lt;=TODAY(),$A90,0),0)</f>
      </c>
      <c r="M90" s="20">
        <f>IF($L90=0,"",$B90&amp;"|"&amp;$L90)</f>
      </c>
    </row>
    <row r="91" spans="1:13" x14ac:dyDescent="0.25">
      <c r="A91" s="24"/>
      <c r="B91" s="9"/>
      <c r="C91" s="20">
        <f>IF($B91="","",IFERROR(INDEX(Parc!$B$2:$B$301,MATCH($B91,Parc!$A$2:$A$301,0)),"Réf. inconnue"))</f>
      </c>
      <c r="D91" s="9"/>
      <c r="E91" s="9"/>
      <c r="F91" s="9"/>
      <c r="G91" s="9"/>
      <c r="H91" s="9"/>
      <c r="I91" s="24"/>
      <c r="J91" s="9"/>
      <c r="K91" s="9"/>
      <c r="L91" s="20">
        <f>IF(AND(ISNUMBER($A91),$B91&lt;&gt;"",$D91&lt;&gt;"Examen partiel (ne relance pas)"),IF($A91&lt;=TODAY(),$A91,0),0)</f>
      </c>
      <c r="M91" s="20">
        <f>IF($L91=0,"",$B91&amp;"|"&amp;$L91)</f>
      </c>
    </row>
    <row r="92" spans="1:13" x14ac:dyDescent="0.25">
      <c r="A92" s="24"/>
      <c r="B92" s="9"/>
      <c r="C92" s="20">
        <f>IF($B92="","",IFERROR(INDEX(Parc!$B$2:$B$301,MATCH($B92,Parc!$A$2:$A$301,0)),"Réf. inconnue"))</f>
      </c>
      <c r="D92" s="9"/>
      <c r="E92" s="9"/>
      <c r="F92" s="9"/>
      <c r="G92" s="9"/>
      <c r="H92" s="9"/>
      <c r="I92" s="24"/>
      <c r="J92" s="9"/>
      <c r="K92" s="9"/>
      <c r="L92" s="20">
        <f>IF(AND(ISNUMBER($A92),$B92&lt;&gt;"",$D92&lt;&gt;"Examen partiel (ne relance pas)"),IF($A92&lt;=TODAY(),$A92,0),0)</f>
      </c>
      <c r="M92" s="20">
        <f>IF($L92=0,"",$B92&amp;"|"&amp;$L92)</f>
      </c>
    </row>
    <row r="93" spans="1:13" x14ac:dyDescent="0.25">
      <c r="A93" s="24"/>
      <c r="B93" s="9"/>
      <c r="C93" s="20">
        <f>IF($B93="","",IFERROR(INDEX(Parc!$B$2:$B$301,MATCH($B93,Parc!$A$2:$A$301,0)),"Réf. inconnue"))</f>
      </c>
      <c r="D93" s="9"/>
      <c r="E93" s="9"/>
      <c r="F93" s="9"/>
      <c r="G93" s="9"/>
      <c r="H93" s="9"/>
      <c r="I93" s="24"/>
      <c r="J93" s="9"/>
      <c r="K93" s="9"/>
      <c r="L93" s="20">
        <f>IF(AND(ISNUMBER($A93),$B93&lt;&gt;"",$D93&lt;&gt;"Examen partiel (ne relance pas)"),IF($A93&lt;=TODAY(),$A93,0),0)</f>
      </c>
      <c r="M93" s="20">
        <f>IF($L93=0,"",$B93&amp;"|"&amp;$L93)</f>
      </c>
    </row>
    <row r="94" spans="1:13" x14ac:dyDescent="0.25">
      <c r="A94" s="24"/>
      <c r="B94" s="9"/>
      <c r="C94" s="20">
        <f>IF($B94="","",IFERROR(INDEX(Parc!$B$2:$B$301,MATCH($B94,Parc!$A$2:$A$301,0)),"Réf. inconnue"))</f>
      </c>
      <c r="D94" s="9"/>
      <c r="E94" s="9"/>
      <c r="F94" s="9"/>
      <c r="G94" s="9"/>
      <c r="H94" s="9"/>
      <c r="I94" s="24"/>
      <c r="J94" s="9"/>
      <c r="K94" s="9"/>
      <c r="L94" s="20">
        <f>IF(AND(ISNUMBER($A94),$B94&lt;&gt;"",$D94&lt;&gt;"Examen partiel (ne relance pas)"),IF($A94&lt;=TODAY(),$A94,0),0)</f>
      </c>
      <c r="M94" s="20">
        <f>IF($L94=0,"",$B94&amp;"|"&amp;$L94)</f>
      </c>
    </row>
    <row r="95" spans="1:13" x14ac:dyDescent="0.25">
      <c r="A95" s="24"/>
      <c r="B95" s="9"/>
      <c r="C95" s="20">
        <f>IF($B95="","",IFERROR(INDEX(Parc!$B$2:$B$301,MATCH($B95,Parc!$A$2:$A$301,0)),"Réf. inconnue"))</f>
      </c>
      <c r="D95" s="9"/>
      <c r="E95" s="9"/>
      <c r="F95" s="9"/>
      <c r="G95" s="9"/>
      <c r="H95" s="9"/>
      <c r="I95" s="24"/>
      <c r="J95" s="9"/>
      <c r="K95" s="9"/>
      <c r="L95" s="20">
        <f>IF(AND(ISNUMBER($A95),$B95&lt;&gt;"",$D95&lt;&gt;"Examen partiel (ne relance pas)"),IF($A95&lt;=TODAY(),$A95,0),0)</f>
      </c>
      <c r="M95" s="20">
        <f>IF($L95=0,"",$B95&amp;"|"&amp;$L95)</f>
      </c>
    </row>
    <row r="96" spans="1:13" x14ac:dyDescent="0.25">
      <c r="A96" s="24"/>
      <c r="B96" s="9"/>
      <c r="C96" s="20">
        <f>IF($B96="","",IFERROR(INDEX(Parc!$B$2:$B$301,MATCH($B96,Parc!$A$2:$A$301,0)),"Réf. inconnue"))</f>
      </c>
      <c r="D96" s="9"/>
      <c r="E96" s="9"/>
      <c r="F96" s="9"/>
      <c r="G96" s="9"/>
      <c r="H96" s="9"/>
      <c r="I96" s="24"/>
      <c r="J96" s="9"/>
      <c r="K96" s="9"/>
      <c r="L96" s="20">
        <f>IF(AND(ISNUMBER($A96),$B96&lt;&gt;"",$D96&lt;&gt;"Examen partiel (ne relance pas)"),IF($A96&lt;=TODAY(),$A96,0),0)</f>
      </c>
      <c r="M96" s="20">
        <f>IF($L96=0,"",$B96&amp;"|"&amp;$L96)</f>
      </c>
    </row>
    <row r="97" spans="1:13" x14ac:dyDescent="0.25">
      <c r="A97" s="24"/>
      <c r="B97" s="9"/>
      <c r="C97" s="20">
        <f>IF($B97="","",IFERROR(INDEX(Parc!$B$2:$B$301,MATCH($B97,Parc!$A$2:$A$301,0)),"Réf. inconnue"))</f>
      </c>
      <c r="D97" s="9"/>
      <c r="E97" s="9"/>
      <c r="F97" s="9"/>
      <c r="G97" s="9"/>
      <c r="H97" s="9"/>
      <c r="I97" s="24"/>
      <c r="J97" s="9"/>
      <c r="K97" s="9"/>
      <c r="L97" s="20">
        <f>IF(AND(ISNUMBER($A97),$B97&lt;&gt;"",$D97&lt;&gt;"Examen partiel (ne relance pas)"),IF($A97&lt;=TODAY(),$A97,0),0)</f>
      </c>
      <c r="M97" s="20">
        <f>IF($L97=0,"",$B97&amp;"|"&amp;$L97)</f>
      </c>
    </row>
    <row r="98" spans="1:13" x14ac:dyDescent="0.25">
      <c r="A98" s="24"/>
      <c r="B98" s="9"/>
      <c r="C98" s="20">
        <f>IF($B98="","",IFERROR(INDEX(Parc!$B$2:$B$301,MATCH($B98,Parc!$A$2:$A$301,0)),"Réf. inconnue"))</f>
      </c>
      <c r="D98" s="9"/>
      <c r="E98" s="9"/>
      <c r="F98" s="9"/>
      <c r="G98" s="9"/>
      <c r="H98" s="9"/>
      <c r="I98" s="24"/>
      <c r="J98" s="9"/>
      <c r="K98" s="9"/>
      <c r="L98" s="20">
        <f>IF(AND(ISNUMBER($A98),$B98&lt;&gt;"",$D98&lt;&gt;"Examen partiel (ne relance pas)"),IF($A98&lt;=TODAY(),$A98,0),0)</f>
      </c>
      <c r="M98" s="20">
        <f>IF($L98=0,"",$B98&amp;"|"&amp;$L98)</f>
      </c>
    </row>
    <row r="99" spans="1:13" x14ac:dyDescent="0.25">
      <c r="A99" s="24"/>
      <c r="B99" s="9"/>
      <c r="C99" s="20">
        <f>IF($B99="","",IFERROR(INDEX(Parc!$B$2:$B$301,MATCH($B99,Parc!$A$2:$A$301,0)),"Réf. inconnue"))</f>
      </c>
      <c r="D99" s="9"/>
      <c r="E99" s="9"/>
      <c r="F99" s="9"/>
      <c r="G99" s="9"/>
      <c r="H99" s="9"/>
      <c r="I99" s="24"/>
      <c r="J99" s="9"/>
      <c r="K99" s="9"/>
      <c r="L99" s="20">
        <f>IF(AND(ISNUMBER($A99),$B99&lt;&gt;"",$D99&lt;&gt;"Examen partiel (ne relance pas)"),IF($A99&lt;=TODAY(),$A99,0),0)</f>
      </c>
      <c r="M99" s="20">
        <f>IF($L99=0,"",$B99&amp;"|"&amp;$L99)</f>
      </c>
    </row>
    <row r="100" spans="1:13" x14ac:dyDescent="0.25">
      <c r="A100" s="24"/>
      <c r="B100" s="9"/>
      <c r="C100" s="20">
        <f>IF($B100="","",IFERROR(INDEX(Parc!$B$2:$B$301,MATCH($B100,Parc!$A$2:$A$301,0)),"Réf. inconnue"))</f>
      </c>
      <c r="D100" s="9"/>
      <c r="E100" s="9"/>
      <c r="F100" s="9"/>
      <c r="G100" s="9"/>
      <c r="H100" s="9"/>
      <c r="I100" s="24"/>
      <c r="J100" s="9"/>
      <c r="K100" s="9"/>
      <c r="L100" s="20">
        <f>IF(AND(ISNUMBER($A100),$B100&lt;&gt;"",$D100&lt;&gt;"Examen partiel (ne relance pas)"),IF($A100&lt;=TODAY(),$A100,0),0)</f>
      </c>
      <c r="M100" s="20">
        <f>IF($L100=0,"",$B100&amp;"|"&amp;$L100)</f>
      </c>
    </row>
    <row r="101" spans="1:13" x14ac:dyDescent="0.25">
      <c r="A101" s="24"/>
      <c r="B101" s="9"/>
      <c r="C101" s="20">
        <f>IF($B101="","",IFERROR(INDEX(Parc!$B$2:$B$301,MATCH($B101,Parc!$A$2:$A$301,0)),"Réf. inconnue"))</f>
      </c>
      <c r="D101" s="9"/>
      <c r="E101" s="9"/>
      <c r="F101" s="9"/>
      <c r="G101" s="9"/>
      <c r="H101" s="9"/>
      <c r="I101" s="24"/>
      <c r="J101" s="9"/>
      <c r="K101" s="9"/>
      <c r="L101" s="20">
        <f>IF(AND(ISNUMBER($A101),$B101&lt;&gt;"",$D101&lt;&gt;"Examen partiel (ne relance pas)"),IF($A101&lt;=TODAY(),$A101,0),0)</f>
      </c>
      <c r="M101" s="20">
        <f>IF($L101=0,"",$B101&amp;"|"&amp;$L101)</f>
      </c>
    </row>
    <row r="102" spans="1:13" x14ac:dyDescent="0.25">
      <c r="A102" s="24"/>
      <c r="B102" s="9"/>
      <c r="C102" s="20">
        <f>IF($B102="","",IFERROR(INDEX(Parc!$B$2:$B$301,MATCH($B102,Parc!$A$2:$A$301,0)),"Réf. inconnue"))</f>
      </c>
      <c r="D102" s="9"/>
      <c r="E102" s="9"/>
      <c r="F102" s="9"/>
      <c r="G102" s="9"/>
      <c r="H102" s="9"/>
      <c r="I102" s="24"/>
      <c r="J102" s="9"/>
      <c r="K102" s="9"/>
      <c r="L102" s="20">
        <f>IF(AND(ISNUMBER($A102),$B102&lt;&gt;"",$D102&lt;&gt;"Examen partiel (ne relance pas)"),IF($A102&lt;=TODAY(),$A102,0),0)</f>
      </c>
      <c r="M102" s="20">
        <f>IF($L102=0,"",$B102&amp;"|"&amp;$L102)</f>
      </c>
    </row>
    <row r="103" spans="1:13" x14ac:dyDescent="0.25">
      <c r="A103" s="24"/>
      <c r="B103" s="9"/>
      <c r="C103" s="20">
        <f>IF($B103="","",IFERROR(INDEX(Parc!$B$2:$B$301,MATCH($B103,Parc!$A$2:$A$301,0)),"Réf. inconnue"))</f>
      </c>
      <c r="D103" s="9"/>
      <c r="E103" s="9"/>
      <c r="F103" s="9"/>
      <c r="G103" s="9"/>
      <c r="H103" s="9"/>
      <c r="I103" s="24"/>
      <c r="J103" s="9"/>
      <c r="K103" s="9"/>
      <c r="L103" s="20">
        <f>IF(AND(ISNUMBER($A103),$B103&lt;&gt;"",$D103&lt;&gt;"Examen partiel (ne relance pas)"),IF($A103&lt;=TODAY(),$A103,0),0)</f>
      </c>
      <c r="M103" s="20">
        <f>IF($L103=0,"",$B103&amp;"|"&amp;$L103)</f>
      </c>
    </row>
    <row r="104" spans="1:13" x14ac:dyDescent="0.25">
      <c r="A104" s="24"/>
      <c r="B104" s="9"/>
      <c r="C104" s="20">
        <f>IF($B104="","",IFERROR(INDEX(Parc!$B$2:$B$301,MATCH($B104,Parc!$A$2:$A$301,0)),"Réf. inconnue"))</f>
      </c>
      <c r="D104" s="9"/>
      <c r="E104" s="9"/>
      <c r="F104" s="9"/>
      <c r="G104" s="9"/>
      <c r="H104" s="9"/>
      <c r="I104" s="24"/>
      <c r="J104" s="9"/>
      <c r="K104" s="9"/>
      <c r="L104" s="20">
        <f>IF(AND(ISNUMBER($A104),$B104&lt;&gt;"",$D104&lt;&gt;"Examen partiel (ne relance pas)"),IF($A104&lt;=TODAY(),$A104,0),0)</f>
      </c>
      <c r="M104" s="20">
        <f>IF($L104=0,"",$B104&amp;"|"&amp;$L104)</f>
      </c>
    </row>
    <row r="105" spans="1:13" x14ac:dyDescent="0.25">
      <c r="A105" s="24"/>
      <c r="B105" s="9"/>
      <c r="C105" s="20">
        <f>IF($B105="","",IFERROR(INDEX(Parc!$B$2:$B$301,MATCH($B105,Parc!$A$2:$A$301,0)),"Réf. inconnue"))</f>
      </c>
      <c r="D105" s="9"/>
      <c r="E105" s="9"/>
      <c r="F105" s="9"/>
      <c r="G105" s="9"/>
      <c r="H105" s="9"/>
      <c r="I105" s="24"/>
      <c r="J105" s="9"/>
      <c r="K105" s="9"/>
      <c r="L105" s="20">
        <f>IF(AND(ISNUMBER($A105),$B105&lt;&gt;"",$D105&lt;&gt;"Examen partiel (ne relance pas)"),IF($A105&lt;=TODAY(),$A105,0),0)</f>
      </c>
      <c r="M105" s="20">
        <f>IF($L105=0,"",$B105&amp;"|"&amp;$L105)</f>
      </c>
    </row>
    <row r="106" spans="1:13" x14ac:dyDescent="0.25">
      <c r="A106" s="24"/>
      <c r="B106" s="9"/>
      <c r="C106" s="20">
        <f>IF($B106="","",IFERROR(INDEX(Parc!$B$2:$B$301,MATCH($B106,Parc!$A$2:$A$301,0)),"Réf. inconnue"))</f>
      </c>
      <c r="D106" s="9"/>
      <c r="E106" s="9"/>
      <c r="F106" s="9"/>
      <c r="G106" s="9"/>
      <c r="H106" s="9"/>
      <c r="I106" s="24"/>
      <c r="J106" s="9"/>
      <c r="K106" s="9"/>
      <c r="L106" s="20">
        <f>IF(AND(ISNUMBER($A106),$B106&lt;&gt;"",$D106&lt;&gt;"Examen partiel (ne relance pas)"),IF($A106&lt;=TODAY(),$A106,0),0)</f>
      </c>
      <c r="M106" s="20">
        <f>IF($L106=0,"",$B106&amp;"|"&amp;$L106)</f>
      </c>
    </row>
    <row r="107" spans="1:13" x14ac:dyDescent="0.25">
      <c r="A107" s="24"/>
      <c r="B107" s="9"/>
      <c r="C107" s="20">
        <f>IF($B107="","",IFERROR(INDEX(Parc!$B$2:$B$301,MATCH($B107,Parc!$A$2:$A$301,0)),"Réf. inconnue"))</f>
      </c>
      <c r="D107" s="9"/>
      <c r="E107" s="9"/>
      <c r="F107" s="9"/>
      <c r="G107" s="9"/>
      <c r="H107" s="9"/>
      <c r="I107" s="24"/>
      <c r="J107" s="9"/>
      <c r="K107" s="9"/>
      <c r="L107" s="20">
        <f>IF(AND(ISNUMBER($A107),$B107&lt;&gt;"",$D107&lt;&gt;"Examen partiel (ne relance pas)"),IF($A107&lt;=TODAY(),$A107,0),0)</f>
      </c>
      <c r="M107" s="20">
        <f>IF($L107=0,"",$B107&amp;"|"&amp;$L107)</f>
      </c>
    </row>
    <row r="108" spans="1:13" x14ac:dyDescent="0.25">
      <c r="A108" s="24"/>
      <c r="B108" s="9"/>
      <c r="C108" s="20">
        <f>IF($B108="","",IFERROR(INDEX(Parc!$B$2:$B$301,MATCH($B108,Parc!$A$2:$A$301,0)),"Réf. inconnue"))</f>
      </c>
      <c r="D108" s="9"/>
      <c r="E108" s="9"/>
      <c r="F108" s="9"/>
      <c r="G108" s="9"/>
      <c r="H108" s="9"/>
      <c r="I108" s="24"/>
      <c r="J108" s="9"/>
      <c r="K108" s="9"/>
      <c r="L108" s="20">
        <f>IF(AND(ISNUMBER($A108),$B108&lt;&gt;"",$D108&lt;&gt;"Examen partiel (ne relance pas)"),IF($A108&lt;=TODAY(),$A108,0),0)</f>
      </c>
      <c r="M108" s="20">
        <f>IF($L108=0,"",$B108&amp;"|"&amp;$L108)</f>
      </c>
    </row>
    <row r="109" spans="1:13" x14ac:dyDescent="0.25">
      <c r="A109" s="24"/>
      <c r="B109" s="9"/>
      <c r="C109" s="20">
        <f>IF($B109="","",IFERROR(INDEX(Parc!$B$2:$B$301,MATCH($B109,Parc!$A$2:$A$301,0)),"Réf. inconnue"))</f>
      </c>
      <c r="D109" s="9"/>
      <c r="E109" s="9"/>
      <c r="F109" s="9"/>
      <c r="G109" s="9"/>
      <c r="H109" s="9"/>
      <c r="I109" s="24"/>
      <c r="J109" s="9"/>
      <c r="K109" s="9"/>
      <c r="L109" s="20">
        <f>IF(AND(ISNUMBER($A109),$B109&lt;&gt;"",$D109&lt;&gt;"Examen partiel (ne relance pas)"),IF($A109&lt;=TODAY(),$A109,0),0)</f>
      </c>
      <c r="M109" s="20">
        <f>IF($L109=0,"",$B109&amp;"|"&amp;$L109)</f>
      </c>
    </row>
    <row r="110" spans="1:13" x14ac:dyDescent="0.25">
      <c r="A110" s="24"/>
      <c r="B110" s="9"/>
      <c r="C110" s="20">
        <f>IF($B110="","",IFERROR(INDEX(Parc!$B$2:$B$301,MATCH($B110,Parc!$A$2:$A$301,0)),"Réf. inconnue"))</f>
      </c>
      <c r="D110" s="9"/>
      <c r="E110" s="9"/>
      <c r="F110" s="9"/>
      <c r="G110" s="9"/>
      <c r="H110" s="9"/>
      <c r="I110" s="24"/>
      <c r="J110" s="9"/>
      <c r="K110" s="9"/>
      <c r="L110" s="20">
        <f>IF(AND(ISNUMBER($A110),$B110&lt;&gt;"",$D110&lt;&gt;"Examen partiel (ne relance pas)"),IF($A110&lt;=TODAY(),$A110,0),0)</f>
      </c>
      <c r="M110" s="20">
        <f>IF($L110=0,"",$B110&amp;"|"&amp;$L110)</f>
      </c>
    </row>
    <row r="111" spans="1:13" x14ac:dyDescent="0.25">
      <c r="A111" s="24"/>
      <c r="B111" s="9"/>
      <c r="C111" s="20">
        <f>IF($B111="","",IFERROR(INDEX(Parc!$B$2:$B$301,MATCH($B111,Parc!$A$2:$A$301,0)),"Réf. inconnue"))</f>
      </c>
      <c r="D111" s="9"/>
      <c r="E111" s="9"/>
      <c r="F111" s="9"/>
      <c r="G111" s="9"/>
      <c r="H111" s="9"/>
      <c r="I111" s="24"/>
      <c r="J111" s="9"/>
      <c r="K111" s="9"/>
      <c r="L111" s="20">
        <f>IF(AND(ISNUMBER($A111),$B111&lt;&gt;"",$D111&lt;&gt;"Examen partiel (ne relance pas)"),IF($A111&lt;=TODAY(),$A111,0),0)</f>
      </c>
      <c r="M111" s="20">
        <f>IF($L111=0,"",$B111&amp;"|"&amp;$L111)</f>
      </c>
    </row>
    <row r="112" spans="1:13" x14ac:dyDescent="0.25">
      <c r="A112" s="24"/>
      <c r="B112" s="9"/>
      <c r="C112" s="20">
        <f>IF($B112="","",IFERROR(INDEX(Parc!$B$2:$B$301,MATCH($B112,Parc!$A$2:$A$301,0)),"Réf. inconnue"))</f>
      </c>
      <c r="D112" s="9"/>
      <c r="E112" s="9"/>
      <c r="F112" s="9"/>
      <c r="G112" s="9"/>
      <c r="H112" s="9"/>
      <c r="I112" s="24"/>
      <c r="J112" s="9"/>
      <c r="K112" s="9"/>
      <c r="L112" s="20">
        <f>IF(AND(ISNUMBER($A112),$B112&lt;&gt;"",$D112&lt;&gt;"Examen partiel (ne relance pas)"),IF($A112&lt;=TODAY(),$A112,0),0)</f>
      </c>
      <c r="M112" s="20">
        <f>IF($L112=0,"",$B112&amp;"|"&amp;$L112)</f>
      </c>
    </row>
    <row r="113" spans="1:13" x14ac:dyDescent="0.25">
      <c r="A113" s="24"/>
      <c r="B113" s="9"/>
      <c r="C113" s="20">
        <f>IF($B113="","",IFERROR(INDEX(Parc!$B$2:$B$301,MATCH($B113,Parc!$A$2:$A$301,0)),"Réf. inconnue"))</f>
      </c>
      <c r="D113" s="9"/>
      <c r="E113" s="9"/>
      <c r="F113" s="9"/>
      <c r="G113" s="9"/>
      <c r="H113" s="9"/>
      <c r="I113" s="24"/>
      <c r="J113" s="9"/>
      <c r="K113" s="9"/>
      <c r="L113" s="20">
        <f>IF(AND(ISNUMBER($A113),$B113&lt;&gt;"",$D113&lt;&gt;"Examen partiel (ne relance pas)"),IF($A113&lt;=TODAY(),$A113,0),0)</f>
      </c>
      <c r="M113" s="20">
        <f>IF($L113=0,"",$B113&amp;"|"&amp;$L113)</f>
      </c>
    </row>
    <row r="114" spans="1:13" x14ac:dyDescent="0.25">
      <c r="A114" s="24"/>
      <c r="B114" s="9"/>
      <c r="C114" s="20">
        <f>IF($B114="","",IFERROR(INDEX(Parc!$B$2:$B$301,MATCH($B114,Parc!$A$2:$A$301,0)),"Réf. inconnue"))</f>
      </c>
      <c r="D114" s="9"/>
      <c r="E114" s="9"/>
      <c r="F114" s="9"/>
      <c r="G114" s="9"/>
      <c r="H114" s="9"/>
      <c r="I114" s="24"/>
      <c r="J114" s="9"/>
      <c r="K114" s="9"/>
      <c r="L114" s="20">
        <f>IF(AND(ISNUMBER($A114),$B114&lt;&gt;"",$D114&lt;&gt;"Examen partiel (ne relance pas)"),IF($A114&lt;=TODAY(),$A114,0),0)</f>
      </c>
      <c r="M114" s="20">
        <f>IF($L114=0,"",$B114&amp;"|"&amp;$L114)</f>
      </c>
    </row>
    <row r="115" spans="1:13" x14ac:dyDescent="0.25">
      <c r="A115" s="24"/>
      <c r="B115" s="9"/>
      <c r="C115" s="20">
        <f>IF($B115="","",IFERROR(INDEX(Parc!$B$2:$B$301,MATCH($B115,Parc!$A$2:$A$301,0)),"Réf. inconnue"))</f>
      </c>
      <c r="D115" s="9"/>
      <c r="E115" s="9"/>
      <c r="F115" s="9"/>
      <c r="G115" s="9"/>
      <c r="H115" s="9"/>
      <c r="I115" s="24"/>
      <c r="J115" s="9"/>
      <c r="K115" s="9"/>
      <c r="L115" s="20">
        <f>IF(AND(ISNUMBER($A115),$B115&lt;&gt;"",$D115&lt;&gt;"Examen partiel (ne relance pas)"),IF($A115&lt;=TODAY(),$A115,0),0)</f>
      </c>
      <c r="M115" s="20">
        <f>IF($L115=0,"",$B115&amp;"|"&amp;$L115)</f>
      </c>
    </row>
    <row r="116" spans="1:13" x14ac:dyDescent="0.25">
      <c r="A116" s="24"/>
      <c r="B116" s="9"/>
      <c r="C116" s="20">
        <f>IF($B116="","",IFERROR(INDEX(Parc!$B$2:$B$301,MATCH($B116,Parc!$A$2:$A$301,0)),"Réf. inconnue"))</f>
      </c>
      <c r="D116" s="9"/>
      <c r="E116" s="9"/>
      <c r="F116" s="9"/>
      <c r="G116" s="9"/>
      <c r="H116" s="9"/>
      <c r="I116" s="24"/>
      <c r="J116" s="9"/>
      <c r="K116" s="9"/>
      <c r="L116" s="20">
        <f>IF(AND(ISNUMBER($A116),$B116&lt;&gt;"",$D116&lt;&gt;"Examen partiel (ne relance pas)"),IF($A116&lt;=TODAY(),$A116,0),0)</f>
      </c>
      <c r="M116" s="20">
        <f>IF($L116=0,"",$B116&amp;"|"&amp;$L116)</f>
      </c>
    </row>
    <row r="117" spans="1:13" x14ac:dyDescent="0.25">
      <c r="A117" s="24"/>
      <c r="B117" s="9"/>
      <c r="C117" s="20">
        <f>IF($B117="","",IFERROR(INDEX(Parc!$B$2:$B$301,MATCH($B117,Parc!$A$2:$A$301,0)),"Réf. inconnue"))</f>
      </c>
      <c r="D117" s="9"/>
      <c r="E117" s="9"/>
      <c r="F117" s="9"/>
      <c r="G117" s="9"/>
      <c r="H117" s="9"/>
      <c r="I117" s="24"/>
      <c r="J117" s="9"/>
      <c r="K117" s="9"/>
      <c r="L117" s="20">
        <f>IF(AND(ISNUMBER($A117),$B117&lt;&gt;"",$D117&lt;&gt;"Examen partiel (ne relance pas)"),IF($A117&lt;=TODAY(),$A117,0),0)</f>
      </c>
      <c r="M117" s="20">
        <f>IF($L117=0,"",$B117&amp;"|"&amp;$L117)</f>
      </c>
    </row>
    <row r="118" spans="1:13" x14ac:dyDescent="0.25">
      <c r="A118" s="24"/>
      <c r="B118" s="9"/>
      <c r="C118" s="20">
        <f>IF($B118="","",IFERROR(INDEX(Parc!$B$2:$B$301,MATCH($B118,Parc!$A$2:$A$301,0)),"Réf. inconnue"))</f>
      </c>
      <c r="D118" s="9"/>
      <c r="E118" s="9"/>
      <c r="F118" s="9"/>
      <c r="G118" s="9"/>
      <c r="H118" s="9"/>
      <c r="I118" s="24"/>
      <c r="J118" s="9"/>
      <c r="K118" s="9"/>
      <c r="L118" s="20">
        <f>IF(AND(ISNUMBER($A118),$B118&lt;&gt;"",$D118&lt;&gt;"Examen partiel (ne relance pas)"),IF($A118&lt;=TODAY(),$A118,0),0)</f>
      </c>
      <c r="M118" s="20">
        <f>IF($L118=0,"",$B118&amp;"|"&amp;$L118)</f>
      </c>
    </row>
    <row r="119" spans="1:13" x14ac:dyDescent="0.25">
      <c r="A119" s="24"/>
      <c r="B119" s="9"/>
      <c r="C119" s="20">
        <f>IF($B119="","",IFERROR(INDEX(Parc!$B$2:$B$301,MATCH($B119,Parc!$A$2:$A$301,0)),"Réf. inconnue"))</f>
      </c>
      <c r="D119" s="9"/>
      <c r="E119" s="9"/>
      <c r="F119" s="9"/>
      <c r="G119" s="9"/>
      <c r="H119" s="9"/>
      <c r="I119" s="24"/>
      <c r="J119" s="9"/>
      <c r="K119" s="9"/>
      <c r="L119" s="20">
        <f>IF(AND(ISNUMBER($A119),$B119&lt;&gt;"",$D119&lt;&gt;"Examen partiel (ne relance pas)"),IF($A119&lt;=TODAY(),$A119,0),0)</f>
      </c>
      <c r="M119" s="20">
        <f>IF($L119=0,"",$B119&amp;"|"&amp;$L119)</f>
      </c>
    </row>
    <row r="120" spans="1:13" x14ac:dyDescent="0.25">
      <c r="A120" s="24"/>
      <c r="B120" s="9"/>
      <c r="C120" s="20">
        <f>IF($B120="","",IFERROR(INDEX(Parc!$B$2:$B$301,MATCH($B120,Parc!$A$2:$A$301,0)),"Réf. inconnue"))</f>
      </c>
      <c r="D120" s="9"/>
      <c r="E120" s="9"/>
      <c r="F120" s="9"/>
      <c r="G120" s="9"/>
      <c r="H120" s="9"/>
      <c r="I120" s="24"/>
      <c r="J120" s="9"/>
      <c r="K120" s="9"/>
      <c r="L120" s="20">
        <f>IF(AND(ISNUMBER($A120),$B120&lt;&gt;"",$D120&lt;&gt;"Examen partiel (ne relance pas)"),IF($A120&lt;=TODAY(),$A120,0),0)</f>
      </c>
      <c r="M120" s="20">
        <f>IF($L120=0,"",$B120&amp;"|"&amp;$L120)</f>
      </c>
    </row>
    <row r="121" spans="1:13" x14ac:dyDescent="0.25">
      <c r="A121" s="24"/>
      <c r="B121" s="9"/>
      <c r="C121" s="20">
        <f>IF($B121="","",IFERROR(INDEX(Parc!$B$2:$B$301,MATCH($B121,Parc!$A$2:$A$301,0)),"Réf. inconnue"))</f>
      </c>
      <c r="D121" s="9"/>
      <c r="E121" s="9"/>
      <c r="F121" s="9"/>
      <c r="G121" s="9"/>
      <c r="H121" s="9"/>
      <c r="I121" s="24"/>
      <c r="J121" s="9"/>
      <c r="K121" s="9"/>
      <c r="L121" s="20">
        <f>IF(AND(ISNUMBER($A121),$B121&lt;&gt;"",$D121&lt;&gt;"Examen partiel (ne relance pas)"),IF($A121&lt;=TODAY(),$A121,0),0)</f>
      </c>
      <c r="M121" s="20">
        <f>IF($L121=0,"",$B121&amp;"|"&amp;$L121)</f>
      </c>
    </row>
    <row r="122" spans="1:13" x14ac:dyDescent="0.25">
      <c r="A122" s="24"/>
      <c r="B122" s="9"/>
      <c r="C122" s="20">
        <f>IF($B122="","",IFERROR(INDEX(Parc!$B$2:$B$301,MATCH($B122,Parc!$A$2:$A$301,0)),"Réf. inconnue"))</f>
      </c>
      <c r="D122" s="9"/>
      <c r="E122" s="9"/>
      <c r="F122" s="9"/>
      <c r="G122" s="9"/>
      <c r="H122" s="9"/>
      <c r="I122" s="24"/>
      <c r="J122" s="9"/>
      <c r="K122" s="9"/>
      <c r="L122" s="20">
        <f>IF(AND(ISNUMBER($A122),$B122&lt;&gt;"",$D122&lt;&gt;"Examen partiel (ne relance pas)"),IF($A122&lt;=TODAY(),$A122,0),0)</f>
      </c>
      <c r="M122" s="20">
        <f>IF($L122=0,"",$B122&amp;"|"&amp;$L122)</f>
      </c>
    </row>
    <row r="123" spans="1:13" x14ac:dyDescent="0.25">
      <c r="A123" s="24"/>
      <c r="B123" s="9"/>
      <c r="C123" s="20">
        <f>IF($B123="","",IFERROR(INDEX(Parc!$B$2:$B$301,MATCH($B123,Parc!$A$2:$A$301,0)),"Réf. inconnue"))</f>
      </c>
      <c r="D123" s="9"/>
      <c r="E123" s="9"/>
      <c r="F123" s="9"/>
      <c r="G123" s="9"/>
      <c r="H123" s="9"/>
      <c r="I123" s="24"/>
      <c r="J123" s="9"/>
      <c r="K123" s="9"/>
      <c r="L123" s="20">
        <f>IF(AND(ISNUMBER($A123),$B123&lt;&gt;"",$D123&lt;&gt;"Examen partiel (ne relance pas)"),IF($A123&lt;=TODAY(),$A123,0),0)</f>
      </c>
      <c r="M123" s="20">
        <f>IF($L123=0,"",$B123&amp;"|"&amp;$L123)</f>
      </c>
    </row>
    <row r="124" spans="1:13" x14ac:dyDescent="0.25">
      <c r="A124" s="24"/>
      <c r="B124" s="9"/>
      <c r="C124" s="20">
        <f>IF($B124="","",IFERROR(INDEX(Parc!$B$2:$B$301,MATCH($B124,Parc!$A$2:$A$301,0)),"Réf. inconnue"))</f>
      </c>
      <c r="D124" s="9"/>
      <c r="E124" s="9"/>
      <c r="F124" s="9"/>
      <c r="G124" s="9"/>
      <c r="H124" s="9"/>
      <c r="I124" s="24"/>
      <c r="J124" s="9"/>
      <c r="K124" s="9"/>
      <c r="L124" s="20">
        <f>IF(AND(ISNUMBER($A124),$B124&lt;&gt;"",$D124&lt;&gt;"Examen partiel (ne relance pas)"),IF($A124&lt;=TODAY(),$A124,0),0)</f>
      </c>
      <c r="M124" s="20">
        <f>IF($L124=0,"",$B124&amp;"|"&amp;$L124)</f>
      </c>
    </row>
    <row r="125" spans="1:13" x14ac:dyDescent="0.25">
      <c r="A125" s="24"/>
      <c r="B125" s="9"/>
      <c r="C125" s="20">
        <f>IF($B125="","",IFERROR(INDEX(Parc!$B$2:$B$301,MATCH($B125,Parc!$A$2:$A$301,0)),"Réf. inconnue"))</f>
      </c>
      <c r="D125" s="9"/>
      <c r="E125" s="9"/>
      <c r="F125" s="9"/>
      <c r="G125" s="9"/>
      <c r="H125" s="9"/>
      <c r="I125" s="24"/>
      <c r="J125" s="9"/>
      <c r="K125" s="9"/>
      <c r="L125" s="20">
        <f>IF(AND(ISNUMBER($A125),$B125&lt;&gt;"",$D125&lt;&gt;"Examen partiel (ne relance pas)"),IF($A125&lt;=TODAY(),$A125,0),0)</f>
      </c>
      <c r="M125" s="20">
        <f>IF($L125=0,"",$B125&amp;"|"&amp;$L125)</f>
      </c>
    </row>
    <row r="126" spans="1:13" x14ac:dyDescent="0.25">
      <c r="A126" s="24"/>
      <c r="B126" s="9"/>
      <c r="C126" s="20">
        <f>IF($B126="","",IFERROR(INDEX(Parc!$B$2:$B$301,MATCH($B126,Parc!$A$2:$A$301,0)),"Réf. inconnue"))</f>
      </c>
      <c r="D126" s="9"/>
      <c r="E126" s="9"/>
      <c r="F126" s="9"/>
      <c r="G126" s="9"/>
      <c r="H126" s="9"/>
      <c r="I126" s="24"/>
      <c r="J126" s="9"/>
      <c r="K126" s="9"/>
      <c r="L126" s="20">
        <f>IF(AND(ISNUMBER($A126),$B126&lt;&gt;"",$D126&lt;&gt;"Examen partiel (ne relance pas)"),IF($A126&lt;=TODAY(),$A126,0),0)</f>
      </c>
      <c r="M126" s="20">
        <f>IF($L126=0,"",$B126&amp;"|"&amp;$L126)</f>
      </c>
    </row>
    <row r="127" spans="1:13" x14ac:dyDescent="0.25">
      <c r="A127" s="24"/>
      <c r="B127" s="9"/>
      <c r="C127" s="20">
        <f>IF($B127="","",IFERROR(INDEX(Parc!$B$2:$B$301,MATCH($B127,Parc!$A$2:$A$301,0)),"Réf. inconnue"))</f>
      </c>
      <c r="D127" s="9"/>
      <c r="E127" s="9"/>
      <c r="F127" s="9"/>
      <c r="G127" s="9"/>
      <c r="H127" s="9"/>
      <c r="I127" s="24"/>
      <c r="J127" s="9"/>
      <c r="K127" s="9"/>
      <c r="L127" s="20">
        <f>IF(AND(ISNUMBER($A127),$B127&lt;&gt;"",$D127&lt;&gt;"Examen partiel (ne relance pas)"),IF($A127&lt;=TODAY(),$A127,0),0)</f>
      </c>
      <c r="M127" s="20">
        <f>IF($L127=0,"",$B127&amp;"|"&amp;$L127)</f>
      </c>
    </row>
    <row r="128" spans="1:13" x14ac:dyDescent="0.25">
      <c r="A128" s="24"/>
      <c r="B128" s="9"/>
      <c r="C128" s="20">
        <f>IF($B128="","",IFERROR(INDEX(Parc!$B$2:$B$301,MATCH($B128,Parc!$A$2:$A$301,0)),"Réf. inconnue"))</f>
      </c>
      <c r="D128" s="9"/>
      <c r="E128" s="9"/>
      <c r="F128" s="9"/>
      <c r="G128" s="9"/>
      <c r="H128" s="9"/>
      <c r="I128" s="24"/>
      <c r="J128" s="9"/>
      <c r="K128" s="9"/>
      <c r="L128" s="20">
        <f>IF(AND(ISNUMBER($A128),$B128&lt;&gt;"",$D128&lt;&gt;"Examen partiel (ne relance pas)"),IF($A128&lt;=TODAY(),$A128,0),0)</f>
      </c>
      <c r="M128" s="20">
        <f>IF($L128=0,"",$B128&amp;"|"&amp;$L128)</f>
      </c>
    </row>
    <row r="129" spans="1:13" x14ac:dyDescent="0.25">
      <c r="A129" s="24"/>
      <c r="B129" s="9"/>
      <c r="C129" s="20">
        <f>IF($B129="","",IFERROR(INDEX(Parc!$B$2:$B$301,MATCH($B129,Parc!$A$2:$A$301,0)),"Réf. inconnue"))</f>
      </c>
      <c r="D129" s="9"/>
      <c r="E129" s="9"/>
      <c r="F129" s="9"/>
      <c r="G129" s="9"/>
      <c r="H129" s="9"/>
      <c r="I129" s="24"/>
      <c r="J129" s="9"/>
      <c r="K129" s="9"/>
      <c r="L129" s="20">
        <f>IF(AND(ISNUMBER($A129),$B129&lt;&gt;"",$D129&lt;&gt;"Examen partiel (ne relance pas)"),IF($A129&lt;=TODAY(),$A129,0),0)</f>
      </c>
      <c r="M129" s="20">
        <f>IF($L129=0,"",$B129&amp;"|"&amp;$L129)</f>
      </c>
    </row>
    <row r="130" spans="1:13" x14ac:dyDescent="0.25">
      <c r="A130" s="24"/>
      <c r="B130" s="9"/>
      <c r="C130" s="20">
        <f>IF($B130="","",IFERROR(INDEX(Parc!$B$2:$B$301,MATCH($B130,Parc!$A$2:$A$301,0)),"Réf. inconnue"))</f>
      </c>
      <c r="D130" s="9"/>
      <c r="E130" s="9"/>
      <c r="F130" s="9"/>
      <c r="G130" s="9"/>
      <c r="H130" s="9"/>
      <c r="I130" s="24"/>
      <c r="J130" s="9"/>
      <c r="K130" s="9"/>
      <c r="L130" s="20">
        <f>IF(AND(ISNUMBER($A130),$B130&lt;&gt;"",$D130&lt;&gt;"Examen partiel (ne relance pas)"),IF($A130&lt;=TODAY(),$A130,0),0)</f>
      </c>
      <c r="M130" s="20">
        <f>IF($L130=0,"",$B130&amp;"|"&amp;$L130)</f>
      </c>
    </row>
    <row r="131" spans="1:13" x14ac:dyDescent="0.25">
      <c r="A131" s="24"/>
      <c r="B131" s="9"/>
      <c r="C131" s="20">
        <f>IF($B131="","",IFERROR(INDEX(Parc!$B$2:$B$301,MATCH($B131,Parc!$A$2:$A$301,0)),"Réf. inconnue"))</f>
      </c>
      <c r="D131" s="9"/>
      <c r="E131" s="9"/>
      <c r="F131" s="9"/>
      <c r="G131" s="9"/>
      <c r="H131" s="9"/>
      <c r="I131" s="24"/>
      <c r="J131" s="9"/>
      <c r="K131" s="9"/>
      <c r="L131" s="20">
        <f>IF(AND(ISNUMBER($A131),$B131&lt;&gt;"",$D131&lt;&gt;"Examen partiel (ne relance pas)"),IF($A131&lt;=TODAY(),$A131,0),0)</f>
      </c>
      <c r="M131" s="20">
        <f>IF($L131=0,"",$B131&amp;"|"&amp;$L131)</f>
      </c>
    </row>
    <row r="132" spans="1:13" x14ac:dyDescent="0.25">
      <c r="A132" s="24"/>
      <c r="B132" s="9"/>
      <c r="C132" s="20">
        <f>IF($B132="","",IFERROR(INDEX(Parc!$B$2:$B$301,MATCH($B132,Parc!$A$2:$A$301,0)),"Réf. inconnue"))</f>
      </c>
      <c r="D132" s="9"/>
      <c r="E132" s="9"/>
      <c r="F132" s="9"/>
      <c r="G132" s="9"/>
      <c r="H132" s="9"/>
      <c r="I132" s="24"/>
      <c r="J132" s="9"/>
      <c r="K132" s="9"/>
      <c r="L132" s="20">
        <f>IF(AND(ISNUMBER($A132),$B132&lt;&gt;"",$D132&lt;&gt;"Examen partiel (ne relance pas)"),IF($A132&lt;=TODAY(),$A132,0),0)</f>
      </c>
      <c r="M132" s="20">
        <f>IF($L132=0,"",$B132&amp;"|"&amp;$L132)</f>
      </c>
    </row>
    <row r="133" spans="1:13" x14ac:dyDescent="0.25">
      <c r="A133" s="24"/>
      <c r="B133" s="9"/>
      <c r="C133" s="20">
        <f>IF($B133="","",IFERROR(INDEX(Parc!$B$2:$B$301,MATCH($B133,Parc!$A$2:$A$301,0)),"Réf. inconnue"))</f>
      </c>
      <c r="D133" s="9"/>
      <c r="E133" s="9"/>
      <c r="F133" s="9"/>
      <c r="G133" s="9"/>
      <c r="H133" s="9"/>
      <c r="I133" s="24"/>
      <c r="J133" s="9"/>
      <c r="K133" s="9"/>
      <c r="L133" s="20">
        <f>IF(AND(ISNUMBER($A133),$B133&lt;&gt;"",$D133&lt;&gt;"Examen partiel (ne relance pas)"),IF($A133&lt;=TODAY(),$A133,0),0)</f>
      </c>
      <c r="M133" s="20">
        <f>IF($L133=0,"",$B133&amp;"|"&amp;$L133)</f>
      </c>
    </row>
    <row r="134" spans="1:13" x14ac:dyDescent="0.25">
      <c r="A134" s="24"/>
      <c r="B134" s="9"/>
      <c r="C134" s="20">
        <f>IF($B134="","",IFERROR(INDEX(Parc!$B$2:$B$301,MATCH($B134,Parc!$A$2:$A$301,0)),"Réf. inconnue"))</f>
      </c>
      <c r="D134" s="9"/>
      <c r="E134" s="9"/>
      <c r="F134" s="9"/>
      <c r="G134" s="9"/>
      <c r="H134" s="9"/>
      <c r="I134" s="24"/>
      <c r="J134" s="9"/>
      <c r="K134" s="9"/>
      <c r="L134" s="20">
        <f>IF(AND(ISNUMBER($A134),$B134&lt;&gt;"",$D134&lt;&gt;"Examen partiel (ne relance pas)"),IF($A134&lt;=TODAY(),$A134,0),0)</f>
      </c>
      <c r="M134" s="20">
        <f>IF($L134=0,"",$B134&amp;"|"&amp;$L134)</f>
      </c>
    </row>
    <row r="135" spans="1:13" x14ac:dyDescent="0.25">
      <c r="A135" s="24"/>
      <c r="B135" s="9"/>
      <c r="C135" s="20">
        <f>IF($B135="","",IFERROR(INDEX(Parc!$B$2:$B$301,MATCH($B135,Parc!$A$2:$A$301,0)),"Réf. inconnue"))</f>
      </c>
      <c r="D135" s="9"/>
      <c r="E135" s="9"/>
      <c r="F135" s="9"/>
      <c r="G135" s="9"/>
      <c r="H135" s="9"/>
      <c r="I135" s="24"/>
      <c r="J135" s="9"/>
      <c r="K135" s="9"/>
      <c r="L135" s="20">
        <f>IF(AND(ISNUMBER($A135),$B135&lt;&gt;"",$D135&lt;&gt;"Examen partiel (ne relance pas)"),IF($A135&lt;=TODAY(),$A135,0),0)</f>
      </c>
      <c r="M135" s="20">
        <f>IF($L135=0,"",$B135&amp;"|"&amp;$L135)</f>
      </c>
    </row>
    <row r="136" spans="1:13" x14ac:dyDescent="0.25">
      <c r="A136" s="24"/>
      <c r="B136" s="9"/>
      <c r="C136" s="20">
        <f>IF($B136="","",IFERROR(INDEX(Parc!$B$2:$B$301,MATCH($B136,Parc!$A$2:$A$301,0)),"Réf. inconnue"))</f>
      </c>
      <c r="D136" s="9"/>
      <c r="E136" s="9"/>
      <c r="F136" s="9"/>
      <c r="G136" s="9"/>
      <c r="H136" s="9"/>
      <c r="I136" s="24"/>
      <c r="J136" s="9"/>
      <c r="K136" s="9"/>
      <c r="L136" s="20">
        <f>IF(AND(ISNUMBER($A136),$B136&lt;&gt;"",$D136&lt;&gt;"Examen partiel (ne relance pas)"),IF($A136&lt;=TODAY(),$A136,0),0)</f>
      </c>
      <c r="M136" s="20">
        <f>IF($L136=0,"",$B136&amp;"|"&amp;$L136)</f>
      </c>
    </row>
    <row r="137" spans="1:13" x14ac:dyDescent="0.25">
      <c r="A137" s="24"/>
      <c r="B137" s="9"/>
      <c r="C137" s="20">
        <f>IF($B137="","",IFERROR(INDEX(Parc!$B$2:$B$301,MATCH($B137,Parc!$A$2:$A$301,0)),"Réf. inconnue"))</f>
      </c>
      <c r="D137" s="9"/>
      <c r="E137" s="9"/>
      <c r="F137" s="9"/>
      <c r="G137" s="9"/>
      <c r="H137" s="9"/>
      <c r="I137" s="24"/>
      <c r="J137" s="9"/>
      <c r="K137" s="9"/>
      <c r="L137" s="20">
        <f>IF(AND(ISNUMBER($A137),$B137&lt;&gt;"",$D137&lt;&gt;"Examen partiel (ne relance pas)"),IF($A137&lt;=TODAY(),$A137,0),0)</f>
      </c>
      <c r="M137" s="20">
        <f>IF($L137=0,"",$B137&amp;"|"&amp;$L137)</f>
      </c>
    </row>
    <row r="138" spans="1:13" x14ac:dyDescent="0.25">
      <c r="A138" s="24"/>
      <c r="B138" s="9"/>
      <c r="C138" s="20">
        <f>IF($B138="","",IFERROR(INDEX(Parc!$B$2:$B$301,MATCH($B138,Parc!$A$2:$A$301,0)),"Réf. inconnue"))</f>
      </c>
      <c r="D138" s="9"/>
      <c r="E138" s="9"/>
      <c r="F138" s="9"/>
      <c r="G138" s="9"/>
      <c r="H138" s="9"/>
      <c r="I138" s="24"/>
      <c r="J138" s="9"/>
      <c r="K138" s="9"/>
      <c r="L138" s="20">
        <f>IF(AND(ISNUMBER($A138),$B138&lt;&gt;"",$D138&lt;&gt;"Examen partiel (ne relance pas)"),IF($A138&lt;=TODAY(),$A138,0),0)</f>
      </c>
      <c r="M138" s="20">
        <f>IF($L138=0,"",$B138&amp;"|"&amp;$L138)</f>
      </c>
    </row>
    <row r="139" spans="1:13" x14ac:dyDescent="0.25">
      <c r="A139" s="24"/>
      <c r="B139" s="9"/>
      <c r="C139" s="20">
        <f>IF($B139="","",IFERROR(INDEX(Parc!$B$2:$B$301,MATCH($B139,Parc!$A$2:$A$301,0)),"Réf. inconnue"))</f>
      </c>
      <c r="D139" s="9"/>
      <c r="E139" s="9"/>
      <c r="F139" s="9"/>
      <c r="G139" s="9"/>
      <c r="H139" s="9"/>
      <c r="I139" s="24"/>
      <c r="J139" s="9"/>
      <c r="K139" s="9"/>
      <c r="L139" s="20">
        <f>IF(AND(ISNUMBER($A139),$B139&lt;&gt;"",$D139&lt;&gt;"Examen partiel (ne relance pas)"),IF($A139&lt;=TODAY(),$A139,0),0)</f>
      </c>
      <c r="M139" s="20">
        <f>IF($L139=0,"",$B139&amp;"|"&amp;$L139)</f>
      </c>
    </row>
    <row r="140" spans="1:13" x14ac:dyDescent="0.25">
      <c r="A140" s="24"/>
      <c r="B140" s="9"/>
      <c r="C140" s="20">
        <f>IF($B140="","",IFERROR(INDEX(Parc!$B$2:$B$301,MATCH($B140,Parc!$A$2:$A$301,0)),"Réf. inconnue"))</f>
      </c>
      <c r="D140" s="9"/>
      <c r="E140" s="9"/>
      <c r="F140" s="9"/>
      <c r="G140" s="9"/>
      <c r="H140" s="9"/>
      <c r="I140" s="24"/>
      <c r="J140" s="9"/>
      <c r="K140" s="9"/>
      <c r="L140" s="20">
        <f>IF(AND(ISNUMBER($A140),$B140&lt;&gt;"",$D140&lt;&gt;"Examen partiel (ne relance pas)"),IF($A140&lt;=TODAY(),$A140,0),0)</f>
      </c>
      <c r="M140" s="20">
        <f>IF($L140=0,"",$B140&amp;"|"&amp;$L140)</f>
      </c>
    </row>
    <row r="141" spans="1:13" x14ac:dyDescent="0.25">
      <c r="A141" s="24"/>
      <c r="B141" s="9"/>
      <c r="C141" s="20">
        <f>IF($B141="","",IFERROR(INDEX(Parc!$B$2:$B$301,MATCH($B141,Parc!$A$2:$A$301,0)),"Réf. inconnue"))</f>
      </c>
      <c r="D141" s="9"/>
      <c r="E141" s="9"/>
      <c r="F141" s="9"/>
      <c r="G141" s="9"/>
      <c r="H141" s="9"/>
      <c r="I141" s="24"/>
      <c r="J141" s="9"/>
      <c r="K141" s="9"/>
      <c r="L141" s="20">
        <f>IF(AND(ISNUMBER($A141),$B141&lt;&gt;"",$D141&lt;&gt;"Examen partiel (ne relance pas)"),IF($A141&lt;=TODAY(),$A141,0),0)</f>
      </c>
      <c r="M141" s="20">
        <f>IF($L141=0,"",$B141&amp;"|"&amp;$L141)</f>
      </c>
    </row>
    <row r="142" spans="1:13" x14ac:dyDescent="0.25">
      <c r="A142" s="24"/>
      <c r="B142" s="9"/>
      <c r="C142" s="20">
        <f>IF($B142="","",IFERROR(INDEX(Parc!$B$2:$B$301,MATCH($B142,Parc!$A$2:$A$301,0)),"Réf. inconnue"))</f>
      </c>
      <c r="D142" s="9"/>
      <c r="E142" s="9"/>
      <c r="F142" s="9"/>
      <c r="G142" s="9"/>
      <c r="H142" s="9"/>
      <c r="I142" s="24"/>
      <c r="J142" s="9"/>
      <c r="K142" s="9"/>
      <c r="L142" s="20">
        <f>IF(AND(ISNUMBER($A142),$B142&lt;&gt;"",$D142&lt;&gt;"Examen partiel (ne relance pas)"),IF($A142&lt;=TODAY(),$A142,0),0)</f>
      </c>
      <c r="M142" s="20">
        <f>IF($L142=0,"",$B142&amp;"|"&amp;$L142)</f>
      </c>
    </row>
    <row r="143" spans="1:13" x14ac:dyDescent="0.25">
      <c r="A143" s="24"/>
      <c r="B143" s="9"/>
      <c r="C143" s="20">
        <f>IF($B143="","",IFERROR(INDEX(Parc!$B$2:$B$301,MATCH($B143,Parc!$A$2:$A$301,0)),"Réf. inconnue"))</f>
      </c>
      <c r="D143" s="9"/>
      <c r="E143" s="9"/>
      <c r="F143" s="9"/>
      <c r="G143" s="9"/>
      <c r="H143" s="9"/>
      <c r="I143" s="24"/>
      <c r="J143" s="9"/>
      <c r="K143" s="9"/>
      <c r="L143" s="20">
        <f>IF(AND(ISNUMBER($A143),$B143&lt;&gt;"",$D143&lt;&gt;"Examen partiel (ne relance pas)"),IF($A143&lt;=TODAY(),$A143,0),0)</f>
      </c>
      <c r="M143" s="20">
        <f>IF($L143=0,"",$B143&amp;"|"&amp;$L143)</f>
      </c>
    </row>
    <row r="144" spans="1:13" x14ac:dyDescent="0.25">
      <c r="A144" s="24"/>
      <c r="B144" s="9"/>
      <c r="C144" s="20">
        <f>IF($B144="","",IFERROR(INDEX(Parc!$B$2:$B$301,MATCH($B144,Parc!$A$2:$A$301,0)),"Réf. inconnue"))</f>
      </c>
      <c r="D144" s="9"/>
      <c r="E144" s="9"/>
      <c r="F144" s="9"/>
      <c r="G144" s="9"/>
      <c r="H144" s="9"/>
      <c r="I144" s="24"/>
      <c r="J144" s="9"/>
      <c r="K144" s="9"/>
      <c r="L144" s="20">
        <f>IF(AND(ISNUMBER($A144),$B144&lt;&gt;"",$D144&lt;&gt;"Examen partiel (ne relance pas)"),IF($A144&lt;=TODAY(),$A144,0),0)</f>
      </c>
      <c r="M144" s="20">
        <f>IF($L144=0,"",$B144&amp;"|"&amp;$L144)</f>
      </c>
    </row>
    <row r="145" spans="1:13" x14ac:dyDescent="0.25">
      <c r="A145" s="24"/>
      <c r="B145" s="9"/>
      <c r="C145" s="20">
        <f>IF($B145="","",IFERROR(INDEX(Parc!$B$2:$B$301,MATCH($B145,Parc!$A$2:$A$301,0)),"Réf. inconnue"))</f>
      </c>
      <c r="D145" s="9"/>
      <c r="E145" s="9"/>
      <c r="F145" s="9"/>
      <c r="G145" s="9"/>
      <c r="H145" s="9"/>
      <c r="I145" s="24"/>
      <c r="J145" s="9"/>
      <c r="K145" s="9"/>
      <c r="L145" s="20">
        <f>IF(AND(ISNUMBER($A145),$B145&lt;&gt;"",$D145&lt;&gt;"Examen partiel (ne relance pas)"),IF($A145&lt;=TODAY(),$A145,0),0)</f>
      </c>
      <c r="M145" s="20">
        <f>IF($L145=0,"",$B145&amp;"|"&amp;$L145)</f>
      </c>
    </row>
    <row r="146" spans="1:13" x14ac:dyDescent="0.25">
      <c r="A146" s="24"/>
      <c r="B146" s="9"/>
      <c r="C146" s="20">
        <f>IF($B146="","",IFERROR(INDEX(Parc!$B$2:$B$301,MATCH($B146,Parc!$A$2:$A$301,0)),"Réf. inconnue"))</f>
      </c>
      <c r="D146" s="9"/>
      <c r="E146" s="9"/>
      <c r="F146" s="9"/>
      <c r="G146" s="9"/>
      <c r="H146" s="9"/>
      <c r="I146" s="24"/>
      <c r="J146" s="9"/>
      <c r="K146" s="9"/>
      <c r="L146" s="20">
        <f>IF(AND(ISNUMBER($A146),$B146&lt;&gt;"",$D146&lt;&gt;"Examen partiel (ne relance pas)"),IF($A146&lt;=TODAY(),$A146,0),0)</f>
      </c>
      <c r="M146" s="20">
        <f>IF($L146=0,"",$B146&amp;"|"&amp;$L146)</f>
      </c>
    </row>
    <row r="147" spans="1:13" x14ac:dyDescent="0.25">
      <c r="A147" s="24"/>
      <c r="B147" s="9"/>
      <c r="C147" s="20">
        <f>IF($B147="","",IFERROR(INDEX(Parc!$B$2:$B$301,MATCH($B147,Parc!$A$2:$A$301,0)),"Réf. inconnue"))</f>
      </c>
      <c r="D147" s="9"/>
      <c r="E147" s="9"/>
      <c r="F147" s="9"/>
      <c r="G147" s="9"/>
      <c r="H147" s="9"/>
      <c r="I147" s="24"/>
      <c r="J147" s="9"/>
      <c r="K147" s="9"/>
      <c r="L147" s="20">
        <f>IF(AND(ISNUMBER($A147),$B147&lt;&gt;"",$D147&lt;&gt;"Examen partiel (ne relance pas)"),IF($A147&lt;=TODAY(),$A147,0),0)</f>
      </c>
      <c r="M147" s="20">
        <f>IF($L147=0,"",$B147&amp;"|"&amp;$L147)</f>
      </c>
    </row>
    <row r="148" spans="1:13" x14ac:dyDescent="0.25">
      <c r="A148" s="24"/>
      <c r="B148" s="9"/>
      <c r="C148" s="20">
        <f>IF($B148="","",IFERROR(INDEX(Parc!$B$2:$B$301,MATCH($B148,Parc!$A$2:$A$301,0)),"Réf. inconnue"))</f>
      </c>
      <c r="D148" s="9"/>
      <c r="E148" s="9"/>
      <c r="F148" s="9"/>
      <c r="G148" s="9"/>
      <c r="H148" s="9"/>
      <c r="I148" s="24"/>
      <c r="J148" s="9"/>
      <c r="K148" s="9"/>
      <c r="L148" s="20">
        <f>IF(AND(ISNUMBER($A148),$B148&lt;&gt;"",$D148&lt;&gt;"Examen partiel (ne relance pas)"),IF($A148&lt;=TODAY(),$A148,0),0)</f>
      </c>
      <c r="M148" s="20">
        <f>IF($L148=0,"",$B148&amp;"|"&amp;$L148)</f>
      </c>
    </row>
    <row r="149" spans="1:13" x14ac:dyDescent="0.25">
      <c r="A149" s="24"/>
      <c r="B149" s="9"/>
      <c r="C149" s="20">
        <f>IF($B149="","",IFERROR(INDEX(Parc!$B$2:$B$301,MATCH($B149,Parc!$A$2:$A$301,0)),"Réf. inconnue"))</f>
      </c>
      <c r="D149" s="9"/>
      <c r="E149" s="9"/>
      <c r="F149" s="9"/>
      <c r="G149" s="9"/>
      <c r="H149" s="9"/>
      <c r="I149" s="24"/>
      <c r="J149" s="9"/>
      <c r="K149" s="9"/>
      <c r="L149" s="20">
        <f>IF(AND(ISNUMBER($A149),$B149&lt;&gt;"",$D149&lt;&gt;"Examen partiel (ne relance pas)"),IF($A149&lt;=TODAY(),$A149,0),0)</f>
      </c>
      <c r="M149" s="20">
        <f>IF($L149=0,"",$B149&amp;"|"&amp;$L149)</f>
      </c>
    </row>
    <row r="150" spans="1:13" x14ac:dyDescent="0.25">
      <c r="A150" s="24"/>
      <c r="B150" s="9"/>
      <c r="C150" s="20">
        <f>IF($B150="","",IFERROR(INDEX(Parc!$B$2:$B$301,MATCH($B150,Parc!$A$2:$A$301,0)),"Réf. inconnue"))</f>
      </c>
      <c r="D150" s="9"/>
      <c r="E150" s="9"/>
      <c r="F150" s="9"/>
      <c r="G150" s="9"/>
      <c r="H150" s="9"/>
      <c r="I150" s="24"/>
      <c r="J150" s="9"/>
      <c r="K150" s="9"/>
      <c r="L150" s="20">
        <f>IF(AND(ISNUMBER($A150),$B150&lt;&gt;"",$D150&lt;&gt;"Examen partiel (ne relance pas)"),IF($A150&lt;=TODAY(),$A150,0),0)</f>
      </c>
      <c r="M150" s="20">
        <f>IF($L150=0,"",$B150&amp;"|"&amp;$L150)</f>
      </c>
    </row>
    <row r="151" spans="1:13" x14ac:dyDescent="0.25">
      <c r="A151" s="24"/>
      <c r="B151" s="9"/>
      <c r="C151" s="20">
        <f>IF($B151="","",IFERROR(INDEX(Parc!$B$2:$B$301,MATCH($B151,Parc!$A$2:$A$301,0)),"Réf. inconnue"))</f>
      </c>
      <c r="D151" s="9"/>
      <c r="E151" s="9"/>
      <c r="F151" s="9"/>
      <c r="G151" s="9"/>
      <c r="H151" s="9"/>
      <c r="I151" s="24"/>
      <c r="J151" s="9"/>
      <c r="K151" s="9"/>
      <c r="L151" s="20">
        <f>IF(AND(ISNUMBER($A151),$B151&lt;&gt;"",$D151&lt;&gt;"Examen partiel (ne relance pas)"),IF($A151&lt;=TODAY(),$A151,0),0)</f>
      </c>
      <c r="M151" s="20">
        <f>IF($L151=0,"",$B151&amp;"|"&amp;$L151)</f>
      </c>
    </row>
    <row r="152" spans="1:13" x14ac:dyDescent="0.25">
      <c r="A152" s="24"/>
      <c r="B152" s="9"/>
      <c r="C152" s="20">
        <f>IF($B152="","",IFERROR(INDEX(Parc!$B$2:$B$301,MATCH($B152,Parc!$A$2:$A$301,0)),"Réf. inconnue"))</f>
      </c>
      <c r="D152" s="9"/>
      <c r="E152" s="9"/>
      <c r="F152" s="9"/>
      <c r="G152" s="9"/>
      <c r="H152" s="9"/>
      <c r="I152" s="24"/>
      <c r="J152" s="9"/>
      <c r="K152" s="9"/>
      <c r="L152" s="20">
        <f>IF(AND(ISNUMBER($A152),$B152&lt;&gt;"",$D152&lt;&gt;"Examen partiel (ne relance pas)"),IF($A152&lt;=TODAY(),$A152,0),0)</f>
      </c>
      <c r="M152" s="20">
        <f>IF($L152=0,"",$B152&amp;"|"&amp;$L152)</f>
      </c>
    </row>
    <row r="153" spans="1:13" x14ac:dyDescent="0.25">
      <c r="A153" s="24"/>
      <c r="B153" s="9"/>
      <c r="C153" s="20">
        <f>IF($B153="","",IFERROR(INDEX(Parc!$B$2:$B$301,MATCH($B153,Parc!$A$2:$A$301,0)),"Réf. inconnue"))</f>
      </c>
      <c r="D153" s="9"/>
      <c r="E153" s="9"/>
      <c r="F153" s="9"/>
      <c r="G153" s="9"/>
      <c r="H153" s="9"/>
      <c r="I153" s="24"/>
      <c r="J153" s="9"/>
      <c r="K153" s="9"/>
      <c r="L153" s="20">
        <f>IF(AND(ISNUMBER($A153),$B153&lt;&gt;"",$D153&lt;&gt;"Examen partiel (ne relance pas)"),IF($A153&lt;=TODAY(),$A153,0),0)</f>
      </c>
      <c r="M153" s="20">
        <f>IF($L153=0,"",$B153&amp;"|"&amp;$L153)</f>
      </c>
    </row>
    <row r="154" spans="1:13" x14ac:dyDescent="0.25">
      <c r="A154" s="24"/>
      <c r="B154" s="9"/>
      <c r="C154" s="20">
        <f>IF($B154="","",IFERROR(INDEX(Parc!$B$2:$B$301,MATCH($B154,Parc!$A$2:$A$301,0)),"Réf. inconnue"))</f>
      </c>
      <c r="D154" s="9"/>
      <c r="E154" s="9"/>
      <c r="F154" s="9"/>
      <c r="G154" s="9"/>
      <c r="H154" s="9"/>
      <c r="I154" s="24"/>
      <c r="J154" s="9"/>
      <c r="K154" s="9"/>
      <c r="L154" s="20">
        <f>IF(AND(ISNUMBER($A154),$B154&lt;&gt;"",$D154&lt;&gt;"Examen partiel (ne relance pas)"),IF($A154&lt;=TODAY(),$A154,0),0)</f>
      </c>
      <c r="M154" s="20">
        <f>IF($L154=0,"",$B154&amp;"|"&amp;$L154)</f>
      </c>
    </row>
    <row r="155" spans="1:13" x14ac:dyDescent="0.25">
      <c r="A155" s="24"/>
      <c r="B155" s="9"/>
      <c r="C155" s="20">
        <f>IF($B155="","",IFERROR(INDEX(Parc!$B$2:$B$301,MATCH($B155,Parc!$A$2:$A$301,0)),"Réf. inconnue"))</f>
      </c>
      <c r="D155" s="9"/>
      <c r="E155" s="9"/>
      <c r="F155" s="9"/>
      <c r="G155" s="9"/>
      <c r="H155" s="9"/>
      <c r="I155" s="24"/>
      <c r="J155" s="9"/>
      <c r="K155" s="9"/>
      <c r="L155" s="20">
        <f>IF(AND(ISNUMBER($A155),$B155&lt;&gt;"",$D155&lt;&gt;"Examen partiel (ne relance pas)"),IF($A155&lt;=TODAY(),$A155,0),0)</f>
      </c>
      <c r="M155" s="20">
        <f>IF($L155=0,"",$B155&amp;"|"&amp;$L155)</f>
      </c>
    </row>
    <row r="156" spans="1:13" x14ac:dyDescent="0.25">
      <c r="A156" s="24"/>
      <c r="B156" s="9"/>
      <c r="C156" s="20">
        <f>IF($B156="","",IFERROR(INDEX(Parc!$B$2:$B$301,MATCH($B156,Parc!$A$2:$A$301,0)),"Réf. inconnue"))</f>
      </c>
      <c r="D156" s="9"/>
      <c r="E156" s="9"/>
      <c r="F156" s="9"/>
      <c r="G156" s="9"/>
      <c r="H156" s="9"/>
      <c r="I156" s="24"/>
      <c r="J156" s="9"/>
      <c r="K156" s="9"/>
      <c r="L156" s="20">
        <f>IF(AND(ISNUMBER($A156),$B156&lt;&gt;"",$D156&lt;&gt;"Examen partiel (ne relance pas)"),IF($A156&lt;=TODAY(),$A156,0),0)</f>
      </c>
      <c r="M156" s="20">
        <f>IF($L156=0,"",$B156&amp;"|"&amp;$L156)</f>
      </c>
    </row>
    <row r="157" spans="1:13" x14ac:dyDescent="0.25">
      <c r="A157" s="24"/>
      <c r="B157" s="9"/>
      <c r="C157" s="20">
        <f>IF($B157="","",IFERROR(INDEX(Parc!$B$2:$B$301,MATCH($B157,Parc!$A$2:$A$301,0)),"Réf. inconnue"))</f>
      </c>
      <c r="D157" s="9"/>
      <c r="E157" s="9"/>
      <c r="F157" s="9"/>
      <c r="G157" s="9"/>
      <c r="H157" s="9"/>
      <c r="I157" s="24"/>
      <c r="J157" s="9"/>
      <c r="K157" s="9"/>
      <c r="L157" s="20">
        <f>IF(AND(ISNUMBER($A157),$B157&lt;&gt;"",$D157&lt;&gt;"Examen partiel (ne relance pas)"),IF($A157&lt;=TODAY(),$A157,0),0)</f>
      </c>
      <c r="M157" s="20">
        <f>IF($L157=0,"",$B157&amp;"|"&amp;$L157)</f>
      </c>
    </row>
    <row r="158" spans="1:13" x14ac:dyDescent="0.25">
      <c r="A158" s="24"/>
      <c r="B158" s="9"/>
      <c r="C158" s="20">
        <f>IF($B158="","",IFERROR(INDEX(Parc!$B$2:$B$301,MATCH($B158,Parc!$A$2:$A$301,0)),"Réf. inconnue"))</f>
      </c>
      <c r="D158" s="9"/>
      <c r="E158" s="9"/>
      <c r="F158" s="9"/>
      <c r="G158" s="9"/>
      <c r="H158" s="9"/>
      <c r="I158" s="24"/>
      <c r="J158" s="9"/>
      <c r="K158" s="9"/>
      <c r="L158" s="20">
        <f>IF(AND(ISNUMBER($A158),$B158&lt;&gt;"",$D158&lt;&gt;"Examen partiel (ne relance pas)"),IF($A158&lt;=TODAY(),$A158,0),0)</f>
      </c>
      <c r="M158" s="20">
        <f>IF($L158=0,"",$B158&amp;"|"&amp;$L158)</f>
      </c>
    </row>
    <row r="159" spans="1:13" x14ac:dyDescent="0.25">
      <c r="A159" s="24"/>
      <c r="B159" s="9"/>
      <c r="C159" s="20">
        <f>IF($B159="","",IFERROR(INDEX(Parc!$B$2:$B$301,MATCH($B159,Parc!$A$2:$A$301,0)),"Réf. inconnue"))</f>
      </c>
      <c r="D159" s="9"/>
      <c r="E159" s="9"/>
      <c r="F159" s="9"/>
      <c r="G159" s="9"/>
      <c r="H159" s="9"/>
      <c r="I159" s="24"/>
      <c r="J159" s="9"/>
      <c r="K159" s="9"/>
      <c r="L159" s="20">
        <f>IF(AND(ISNUMBER($A159),$B159&lt;&gt;"",$D159&lt;&gt;"Examen partiel (ne relance pas)"),IF($A159&lt;=TODAY(),$A159,0),0)</f>
      </c>
      <c r="M159" s="20">
        <f>IF($L159=0,"",$B159&amp;"|"&amp;$L159)</f>
      </c>
    </row>
    <row r="160" spans="1:13" x14ac:dyDescent="0.25">
      <c r="A160" s="24"/>
      <c r="B160" s="9"/>
      <c r="C160" s="20">
        <f>IF($B160="","",IFERROR(INDEX(Parc!$B$2:$B$301,MATCH($B160,Parc!$A$2:$A$301,0)),"Réf. inconnue"))</f>
      </c>
      <c r="D160" s="9"/>
      <c r="E160" s="9"/>
      <c r="F160" s="9"/>
      <c r="G160" s="9"/>
      <c r="H160" s="9"/>
      <c r="I160" s="24"/>
      <c r="J160" s="9"/>
      <c r="K160" s="9"/>
      <c r="L160" s="20">
        <f>IF(AND(ISNUMBER($A160),$B160&lt;&gt;"",$D160&lt;&gt;"Examen partiel (ne relance pas)"),IF($A160&lt;=TODAY(),$A160,0),0)</f>
      </c>
      <c r="M160" s="20">
        <f>IF($L160=0,"",$B160&amp;"|"&amp;$L160)</f>
      </c>
    </row>
    <row r="161" spans="1:13" x14ac:dyDescent="0.25">
      <c r="A161" s="24"/>
      <c r="B161" s="9"/>
      <c r="C161" s="20">
        <f>IF($B161="","",IFERROR(INDEX(Parc!$B$2:$B$301,MATCH($B161,Parc!$A$2:$A$301,0)),"Réf. inconnue"))</f>
      </c>
      <c r="D161" s="9"/>
      <c r="E161" s="9"/>
      <c r="F161" s="9"/>
      <c r="G161" s="9"/>
      <c r="H161" s="9"/>
      <c r="I161" s="24"/>
      <c r="J161" s="9"/>
      <c r="K161" s="9"/>
      <c r="L161" s="20">
        <f>IF(AND(ISNUMBER($A161),$B161&lt;&gt;"",$D161&lt;&gt;"Examen partiel (ne relance pas)"),IF($A161&lt;=TODAY(),$A161,0),0)</f>
      </c>
      <c r="M161" s="20">
        <f>IF($L161=0,"",$B161&amp;"|"&amp;$L161)</f>
      </c>
    </row>
    <row r="162" spans="1:13" x14ac:dyDescent="0.25">
      <c r="A162" s="24"/>
      <c r="B162" s="9"/>
      <c r="C162" s="20">
        <f>IF($B162="","",IFERROR(INDEX(Parc!$B$2:$B$301,MATCH($B162,Parc!$A$2:$A$301,0)),"Réf. inconnue"))</f>
      </c>
      <c r="D162" s="9"/>
      <c r="E162" s="9"/>
      <c r="F162" s="9"/>
      <c r="G162" s="9"/>
      <c r="H162" s="9"/>
      <c r="I162" s="24"/>
      <c r="J162" s="9"/>
      <c r="K162" s="9"/>
      <c r="L162" s="20">
        <f>IF(AND(ISNUMBER($A162),$B162&lt;&gt;"",$D162&lt;&gt;"Examen partiel (ne relance pas)"),IF($A162&lt;=TODAY(),$A162,0),0)</f>
      </c>
      <c r="M162" s="20">
        <f>IF($L162=0,"",$B162&amp;"|"&amp;$L162)</f>
      </c>
    </row>
    <row r="163" spans="1:13" x14ac:dyDescent="0.25">
      <c r="A163" s="24"/>
      <c r="B163" s="9"/>
      <c r="C163" s="20">
        <f>IF($B163="","",IFERROR(INDEX(Parc!$B$2:$B$301,MATCH($B163,Parc!$A$2:$A$301,0)),"Réf. inconnue"))</f>
      </c>
      <c r="D163" s="9"/>
      <c r="E163" s="9"/>
      <c r="F163" s="9"/>
      <c r="G163" s="9"/>
      <c r="H163" s="9"/>
      <c r="I163" s="24"/>
      <c r="J163" s="9"/>
      <c r="K163" s="9"/>
      <c r="L163" s="20">
        <f>IF(AND(ISNUMBER($A163),$B163&lt;&gt;"",$D163&lt;&gt;"Examen partiel (ne relance pas)"),IF($A163&lt;=TODAY(),$A163,0),0)</f>
      </c>
      <c r="M163" s="20">
        <f>IF($L163=0,"",$B163&amp;"|"&amp;$L163)</f>
      </c>
    </row>
    <row r="164" spans="1:13" x14ac:dyDescent="0.25">
      <c r="A164" s="24"/>
      <c r="B164" s="9"/>
      <c r="C164" s="20">
        <f>IF($B164="","",IFERROR(INDEX(Parc!$B$2:$B$301,MATCH($B164,Parc!$A$2:$A$301,0)),"Réf. inconnue"))</f>
      </c>
      <c r="D164" s="9"/>
      <c r="E164" s="9"/>
      <c r="F164" s="9"/>
      <c r="G164" s="9"/>
      <c r="H164" s="9"/>
      <c r="I164" s="24"/>
      <c r="J164" s="9"/>
      <c r="K164" s="9"/>
      <c r="L164" s="20">
        <f>IF(AND(ISNUMBER($A164),$B164&lt;&gt;"",$D164&lt;&gt;"Examen partiel (ne relance pas)"),IF($A164&lt;=TODAY(),$A164,0),0)</f>
      </c>
      <c r="M164" s="20">
        <f>IF($L164=0,"",$B164&amp;"|"&amp;$L164)</f>
      </c>
    </row>
    <row r="165" spans="1:13" x14ac:dyDescent="0.25">
      <c r="A165" s="24"/>
      <c r="B165" s="9"/>
      <c r="C165" s="20">
        <f>IF($B165="","",IFERROR(INDEX(Parc!$B$2:$B$301,MATCH($B165,Parc!$A$2:$A$301,0)),"Réf. inconnue"))</f>
      </c>
      <c r="D165" s="9"/>
      <c r="E165" s="9"/>
      <c r="F165" s="9"/>
      <c r="G165" s="9"/>
      <c r="H165" s="9"/>
      <c r="I165" s="24"/>
      <c r="J165" s="9"/>
      <c r="K165" s="9"/>
      <c r="L165" s="20">
        <f>IF(AND(ISNUMBER($A165),$B165&lt;&gt;"",$D165&lt;&gt;"Examen partiel (ne relance pas)"),IF($A165&lt;=TODAY(),$A165,0),0)</f>
      </c>
      <c r="M165" s="20">
        <f>IF($L165=0,"",$B165&amp;"|"&amp;$L165)</f>
      </c>
    </row>
    <row r="166" spans="1:13" x14ac:dyDescent="0.25">
      <c r="A166" s="24"/>
      <c r="B166" s="9"/>
      <c r="C166" s="20">
        <f>IF($B166="","",IFERROR(INDEX(Parc!$B$2:$B$301,MATCH($B166,Parc!$A$2:$A$301,0)),"Réf. inconnue"))</f>
      </c>
      <c r="D166" s="9"/>
      <c r="E166" s="9"/>
      <c r="F166" s="9"/>
      <c r="G166" s="9"/>
      <c r="H166" s="9"/>
      <c r="I166" s="24"/>
      <c r="J166" s="9"/>
      <c r="K166" s="9"/>
      <c r="L166" s="20">
        <f>IF(AND(ISNUMBER($A166),$B166&lt;&gt;"",$D166&lt;&gt;"Examen partiel (ne relance pas)"),IF($A166&lt;=TODAY(),$A166,0),0)</f>
      </c>
      <c r="M166" s="20">
        <f>IF($L166=0,"",$B166&amp;"|"&amp;$L166)</f>
      </c>
    </row>
    <row r="167" spans="1:13" x14ac:dyDescent="0.25">
      <c r="A167" s="24"/>
      <c r="B167" s="9"/>
      <c r="C167" s="20">
        <f>IF($B167="","",IFERROR(INDEX(Parc!$B$2:$B$301,MATCH($B167,Parc!$A$2:$A$301,0)),"Réf. inconnue"))</f>
      </c>
      <c r="D167" s="9"/>
      <c r="E167" s="9"/>
      <c r="F167" s="9"/>
      <c r="G167" s="9"/>
      <c r="H167" s="9"/>
      <c r="I167" s="24"/>
      <c r="J167" s="9"/>
      <c r="K167" s="9"/>
      <c r="L167" s="20">
        <f>IF(AND(ISNUMBER($A167),$B167&lt;&gt;"",$D167&lt;&gt;"Examen partiel (ne relance pas)"),IF($A167&lt;=TODAY(),$A167,0),0)</f>
      </c>
      <c r="M167" s="20">
        <f>IF($L167=0,"",$B167&amp;"|"&amp;$L167)</f>
      </c>
    </row>
    <row r="168" spans="1:13" x14ac:dyDescent="0.25">
      <c r="A168" s="24"/>
      <c r="B168" s="9"/>
      <c r="C168" s="20">
        <f>IF($B168="","",IFERROR(INDEX(Parc!$B$2:$B$301,MATCH($B168,Parc!$A$2:$A$301,0)),"Réf. inconnue"))</f>
      </c>
      <c r="D168" s="9"/>
      <c r="E168" s="9"/>
      <c r="F168" s="9"/>
      <c r="G168" s="9"/>
      <c r="H168" s="9"/>
      <c r="I168" s="24"/>
      <c r="J168" s="9"/>
      <c r="K168" s="9"/>
      <c r="L168" s="20">
        <f>IF(AND(ISNUMBER($A168),$B168&lt;&gt;"",$D168&lt;&gt;"Examen partiel (ne relance pas)"),IF($A168&lt;=TODAY(),$A168,0),0)</f>
      </c>
      <c r="M168" s="20">
        <f>IF($L168=0,"",$B168&amp;"|"&amp;$L168)</f>
      </c>
    </row>
    <row r="169" spans="1:13" x14ac:dyDescent="0.25">
      <c r="A169" s="24"/>
      <c r="B169" s="9"/>
      <c r="C169" s="20">
        <f>IF($B169="","",IFERROR(INDEX(Parc!$B$2:$B$301,MATCH($B169,Parc!$A$2:$A$301,0)),"Réf. inconnue"))</f>
      </c>
      <c r="D169" s="9"/>
      <c r="E169" s="9"/>
      <c r="F169" s="9"/>
      <c r="G169" s="9"/>
      <c r="H169" s="9"/>
      <c r="I169" s="24"/>
      <c r="J169" s="9"/>
      <c r="K169" s="9"/>
      <c r="L169" s="20">
        <f>IF(AND(ISNUMBER($A169),$B169&lt;&gt;"",$D169&lt;&gt;"Examen partiel (ne relance pas)"),IF($A169&lt;=TODAY(),$A169,0),0)</f>
      </c>
      <c r="M169" s="20">
        <f>IF($L169=0,"",$B169&amp;"|"&amp;$L169)</f>
      </c>
    </row>
    <row r="170" spans="1:13" x14ac:dyDescent="0.25">
      <c r="A170" s="24"/>
      <c r="B170" s="9"/>
      <c r="C170" s="20">
        <f>IF($B170="","",IFERROR(INDEX(Parc!$B$2:$B$301,MATCH($B170,Parc!$A$2:$A$301,0)),"Réf. inconnue"))</f>
      </c>
      <c r="D170" s="9"/>
      <c r="E170" s="9"/>
      <c r="F170" s="9"/>
      <c r="G170" s="9"/>
      <c r="H170" s="9"/>
      <c r="I170" s="24"/>
      <c r="J170" s="9"/>
      <c r="K170" s="9"/>
      <c r="L170" s="20">
        <f>IF(AND(ISNUMBER($A170),$B170&lt;&gt;"",$D170&lt;&gt;"Examen partiel (ne relance pas)"),IF($A170&lt;=TODAY(),$A170,0),0)</f>
      </c>
      <c r="M170" s="20">
        <f>IF($L170=0,"",$B170&amp;"|"&amp;$L170)</f>
      </c>
    </row>
    <row r="171" spans="1:13" x14ac:dyDescent="0.25">
      <c r="A171" s="24"/>
      <c r="B171" s="9"/>
      <c r="C171" s="20">
        <f>IF($B171="","",IFERROR(INDEX(Parc!$B$2:$B$301,MATCH($B171,Parc!$A$2:$A$301,0)),"Réf. inconnue"))</f>
      </c>
      <c r="D171" s="9"/>
      <c r="E171" s="9"/>
      <c r="F171" s="9"/>
      <c r="G171" s="9"/>
      <c r="H171" s="9"/>
      <c r="I171" s="24"/>
      <c r="J171" s="9"/>
      <c r="K171" s="9"/>
      <c r="L171" s="20">
        <f>IF(AND(ISNUMBER($A171),$B171&lt;&gt;"",$D171&lt;&gt;"Examen partiel (ne relance pas)"),IF($A171&lt;=TODAY(),$A171,0),0)</f>
      </c>
      <c r="M171" s="20">
        <f>IF($L171=0,"",$B171&amp;"|"&amp;$L171)</f>
      </c>
    </row>
    <row r="172" spans="1:13" x14ac:dyDescent="0.25">
      <c r="A172" s="24"/>
      <c r="B172" s="9"/>
      <c r="C172" s="20">
        <f>IF($B172="","",IFERROR(INDEX(Parc!$B$2:$B$301,MATCH($B172,Parc!$A$2:$A$301,0)),"Réf. inconnue"))</f>
      </c>
      <c r="D172" s="9"/>
      <c r="E172" s="9"/>
      <c r="F172" s="9"/>
      <c r="G172" s="9"/>
      <c r="H172" s="9"/>
      <c r="I172" s="24"/>
      <c r="J172" s="9"/>
      <c r="K172" s="9"/>
      <c r="L172" s="20">
        <f>IF(AND(ISNUMBER($A172),$B172&lt;&gt;"",$D172&lt;&gt;"Examen partiel (ne relance pas)"),IF($A172&lt;=TODAY(),$A172,0),0)</f>
      </c>
      <c r="M172" s="20">
        <f>IF($L172=0,"",$B172&amp;"|"&amp;$L172)</f>
      </c>
    </row>
    <row r="173" spans="1:13" x14ac:dyDescent="0.25">
      <c r="A173" s="24"/>
      <c r="B173" s="9"/>
      <c r="C173" s="20">
        <f>IF($B173="","",IFERROR(INDEX(Parc!$B$2:$B$301,MATCH($B173,Parc!$A$2:$A$301,0)),"Réf. inconnue"))</f>
      </c>
      <c r="D173" s="9"/>
      <c r="E173" s="9"/>
      <c r="F173" s="9"/>
      <c r="G173" s="9"/>
      <c r="H173" s="9"/>
      <c r="I173" s="24"/>
      <c r="J173" s="9"/>
      <c r="K173" s="9"/>
      <c r="L173" s="20">
        <f>IF(AND(ISNUMBER($A173),$B173&lt;&gt;"",$D173&lt;&gt;"Examen partiel (ne relance pas)"),IF($A173&lt;=TODAY(),$A173,0),0)</f>
      </c>
      <c r="M173" s="20">
        <f>IF($L173=0,"",$B173&amp;"|"&amp;$L173)</f>
      </c>
    </row>
    <row r="174" spans="1:13" x14ac:dyDescent="0.25">
      <c r="A174" s="24"/>
      <c r="B174" s="9"/>
      <c r="C174" s="20">
        <f>IF($B174="","",IFERROR(INDEX(Parc!$B$2:$B$301,MATCH($B174,Parc!$A$2:$A$301,0)),"Réf. inconnue"))</f>
      </c>
      <c r="D174" s="9"/>
      <c r="E174" s="9"/>
      <c r="F174" s="9"/>
      <c r="G174" s="9"/>
      <c r="H174" s="9"/>
      <c r="I174" s="24"/>
      <c r="J174" s="9"/>
      <c r="K174" s="9"/>
      <c r="L174" s="20">
        <f>IF(AND(ISNUMBER($A174),$B174&lt;&gt;"",$D174&lt;&gt;"Examen partiel (ne relance pas)"),IF($A174&lt;=TODAY(),$A174,0),0)</f>
      </c>
      <c r="M174" s="20">
        <f>IF($L174=0,"",$B174&amp;"|"&amp;$L174)</f>
      </c>
    </row>
    <row r="175" spans="1:13" x14ac:dyDescent="0.25">
      <c r="A175" s="24"/>
      <c r="B175" s="9"/>
      <c r="C175" s="20">
        <f>IF($B175="","",IFERROR(INDEX(Parc!$B$2:$B$301,MATCH($B175,Parc!$A$2:$A$301,0)),"Réf. inconnue"))</f>
      </c>
      <c r="D175" s="9"/>
      <c r="E175" s="9"/>
      <c r="F175" s="9"/>
      <c r="G175" s="9"/>
      <c r="H175" s="9"/>
      <c r="I175" s="24"/>
      <c r="J175" s="9"/>
      <c r="K175" s="9"/>
      <c r="L175" s="20">
        <f>IF(AND(ISNUMBER($A175),$B175&lt;&gt;"",$D175&lt;&gt;"Examen partiel (ne relance pas)"),IF($A175&lt;=TODAY(),$A175,0),0)</f>
      </c>
      <c r="M175" s="20">
        <f>IF($L175=0,"",$B175&amp;"|"&amp;$L175)</f>
      </c>
    </row>
    <row r="176" spans="1:13" x14ac:dyDescent="0.25">
      <c r="A176" s="24"/>
      <c r="B176" s="9"/>
      <c r="C176" s="20">
        <f>IF($B176="","",IFERROR(INDEX(Parc!$B$2:$B$301,MATCH($B176,Parc!$A$2:$A$301,0)),"Réf. inconnue"))</f>
      </c>
      <c r="D176" s="9"/>
      <c r="E176" s="9"/>
      <c r="F176" s="9"/>
      <c r="G176" s="9"/>
      <c r="H176" s="9"/>
      <c r="I176" s="24"/>
      <c r="J176" s="9"/>
      <c r="K176" s="9"/>
      <c r="L176" s="20">
        <f>IF(AND(ISNUMBER($A176),$B176&lt;&gt;"",$D176&lt;&gt;"Examen partiel (ne relance pas)"),IF($A176&lt;=TODAY(),$A176,0),0)</f>
      </c>
      <c r="M176" s="20">
        <f>IF($L176=0,"",$B176&amp;"|"&amp;$L176)</f>
      </c>
    </row>
    <row r="177" spans="1:13" x14ac:dyDescent="0.25">
      <c r="A177" s="24"/>
      <c r="B177" s="9"/>
      <c r="C177" s="20">
        <f>IF($B177="","",IFERROR(INDEX(Parc!$B$2:$B$301,MATCH($B177,Parc!$A$2:$A$301,0)),"Réf. inconnue"))</f>
      </c>
      <c r="D177" s="9"/>
      <c r="E177" s="9"/>
      <c r="F177" s="9"/>
      <c r="G177" s="9"/>
      <c r="H177" s="9"/>
      <c r="I177" s="24"/>
      <c r="J177" s="9"/>
      <c r="K177" s="9"/>
      <c r="L177" s="20">
        <f>IF(AND(ISNUMBER($A177),$B177&lt;&gt;"",$D177&lt;&gt;"Examen partiel (ne relance pas)"),IF($A177&lt;=TODAY(),$A177,0),0)</f>
      </c>
      <c r="M177" s="20">
        <f>IF($L177=0,"",$B177&amp;"|"&amp;$L177)</f>
      </c>
    </row>
    <row r="178" spans="1:13" x14ac:dyDescent="0.25">
      <c r="A178" s="24"/>
      <c r="B178" s="9"/>
      <c r="C178" s="20">
        <f>IF($B178="","",IFERROR(INDEX(Parc!$B$2:$B$301,MATCH($B178,Parc!$A$2:$A$301,0)),"Réf. inconnue"))</f>
      </c>
      <c r="D178" s="9"/>
      <c r="E178" s="9"/>
      <c r="F178" s="9"/>
      <c r="G178" s="9"/>
      <c r="H178" s="9"/>
      <c r="I178" s="24"/>
      <c r="J178" s="9"/>
      <c r="K178" s="9"/>
      <c r="L178" s="20">
        <f>IF(AND(ISNUMBER($A178),$B178&lt;&gt;"",$D178&lt;&gt;"Examen partiel (ne relance pas)"),IF($A178&lt;=TODAY(),$A178,0),0)</f>
      </c>
      <c r="M178" s="20">
        <f>IF($L178=0,"",$B178&amp;"|"&amp;$L178)</f>
      </c>
    </row>
    <row r="179" spans="1:13" x14ac:dyDescent="0.25">
      <c r="A179" s="24"/>
      <c r="B179" s="9"/>
      <c r="C179" s="20">
        <f>IF($B179="","",IFERROR(INDEX(Parc!$B$2:$B$301,MATCH($B179,Parc!$A$2:$A$301,0)),"Réf. inconnue"))</f>
      </c>
      <c r="D179" s="9"/>
      <c r="E179" s="9"/>
      <c r="F179" s="9"/>
      <c r="G179" s="9"/>
      <c r="H179" s="9"/>
      <c r="I179" s="24"/>
      <c r="J179" s="9"/>
      <c r="K179" s="9"/>
      <c r="L179" s="20">
        <f>IF(AND(ISNUMBER($A179),$B179&lt;&gt;"",$D179&lt;&gt;"Examen partiel (ne relance pas)"),IF($A179&lt;=TODAY(),$A179,0),0)</f>
      </c>
      <c r="M179" s="20">
        <f>IF($L179=0,"",$B179&amp;"|"&amp;$L179)</f>
      </c>
    </row>
    <row r="180" spans="1:13" x14ac:dyDescent="0.25">
      <c r="A180" s="24"/>
      <c r="B180" s="9"/>
      <c r="C180" s="20">
        <f>IF($B180="","",IFERROR(INDEX(Parc!$B$2:$B$301,MATCH($B180,Parc!$A$2:$A$301,0)),"Réf. inconnue"))</f>
      </c>
      <c r="D180" s="9"/>
      <c r="E180" s="9"/>
      <c r="F180" s="9"/>
      <c r="G180" s="9"/>
      <c r="H180" s="9"/>
      <c r="I180" s="24"/>
      <c r="J180" s="9"/>
      <c r="K180" s="9"/>
      <c r="L180" s="20">
        <f>IF(AND(ISNUMBER($A180),$B180&lt;&gt;"",$D180&lt;&gt;"Examen partiel (ne relance pas)"),IF($A180&lt;=TODAY(),$A180,0),0)</f>
      </c>
      <c r="M180" s="20">
        <f>IF($L180=0,"",$B180&amp;"|"&amp;$L180)</f>
      </c>
    </row>
    <row r="181" spans="1:13" x14ac:dyDescent="0.25">
      <c r="A181" s="24"/>
      <c r="B181" s="9"/>
      <c r="C181" s="20">
        <f>IF($B181="","",IFERROR(INDEX(Parc!$B$2:$B$301,MATCH($B181,Parc!$A$2:$A$301,0)),"Réf. inconnue"))</f>
      </c>
      <c r="D181" s="9"/>
      <c r="E181" s="9"/>
      <c r="F181" s="9"/>
      <c r="G181" s="9"/>
      <c r="H181" s="9"/>
      <c r="I181" s="24"/>
      <c r="J181" s="9"/>
      <c r="K181" s="9"/>
      <c r="L181" s="20">
        <f>IF(AND(ISNUMBER($A181),$B181&lt;&gt;"",$D181&lt;&gt;"Examen partiel (ne relance pas)"),IF($A181&lt;=TODAY(),$A181,0),0)</f>
      </c>
      <c r="M181" s="20">
        <f>IF($L181=0,"",$B181&amp;"|"&amp;$L181)</f>
      </c>
    </row>
    <row r="182" spans="1:13" x14ac:dyDescent="0.25">
      <c r="A182" s="24"/>
      <c r="B182" s="9"/>
      <c r="C182" s="20">
        <f>IF($B182="","",IFERROR(INDEX(Parc!$B$2:$B$301,MATCH($B182,Parc!$A$2:$A$301,0)),"Réf. inconnue"))</f>
      </c>
      <c r="D182" s="9"/>
      <c r="E182" s="9"/>
      <c r="F182" s="9"/>
      <c r="G182" s="9"/>
      <c r="H182" s="9"/>
      <c r="I182" s="24"/>
      <c r="J182" s="9"/>
      <c r="K182" s="9"/>
      <c r="L182" s="20">
        <f>IF(AND(ISNUMBER($A182),$B182&lt;&gt;"",$D182&lt;&gt;"Examen partiel (ne relance pas)"),IF($A182&lt;=TODAY(),$A182,0),0)</f>
      </c>
      <c r="M182" s="20">
        <f>IF($L182=0,"",$B182&amp;"|"&amp;$L182)</f>
      </c>
    </row>
    <row r="183" spans="1:13" x14ac:dyDescent="0.25">
      <c r="A183" s="24"/>
      <c r="B183" s="9"/>
      <c r="C183" s="20">
        <f>IF($B183="","",IFERROR(INDEX(Parc!$B$2:$B$301,MATCH($B183,Parc!$A$2:$A$301,0)),"Réf. inconnue"))</f>
      </c>
      <c r="D183" s="9"/>
      <c r="E183" s="9"/>
      <c r="F183" s="9"/>
      <c r="G183" s="9"/>
      <c r="H183" s="9"/>
      <c r="I183" s="24"/>
      <c r="J183" s="9"/>
      <c r="K183" s="9"/>
      <c r="L183" s="20">
        <f>IF(AND(ISNUMBER($A183),$B183&lt;&gt;"",$D183&lt;&gt;"Examen partiel (ne relance pas)"),IF($A183&lt;=TODAY(),$A183,0),0)</f>
      </c>
      <c r="M183" s="20">
        <f>IF($L183=0,"",$B183&amp;"|"&amp;$L183)</f>
      </c>
    </row>
    <row r="184" spans="1:13" x14ac:dyDescent="0.25">
      <c r="A184" s="24"/>
      <c r="B184" s="9"/>
      <c r="C184" s="20">
        <f>IF($B184="","",IFERROR(INDEX(Parc!$B$2:$B$301,MATCH($B184,Parc!$A$2:$A$301,0)),"Réf. inconnue"))</f>
      </c>
      <c r="D184" s="9"/>
      <c r="E184" s="9"/>
      <c r="F184" s="9"/>
      <c r="G184" s="9"/>
      <c r="H184" s="9"/>
      <c r="I184" s="24"/>
      <c r="J184" s="9"/>
      <c r="K184" s="9"/>
      <c r="L184" s="20">
        <f>IF(AND(ISNUMBER($A184),$B184&lt;&gt;"",$D184&lt;&gt;"Examen partiel (ne relance pas)"),IF($A184&lt;=TODAY(),$A184,0),0)</f>
      </c>
      <c r="M184" s="20">
        <f>IF($L184=0,"",$B184&amp;"|"&amp;$L184)</f>
      </c>
    </row>
    <row r="185" spans="1:13" x14ac:dyDescent="0.25">
      <c r="A185" s="24"/>
      <c r="B185" s="9"/>
      <c r="C185" s="20">
        <f>IF($B185="","",IFERROR(INDEX(Parc!$B$2:$B$301,MATCH($B185,Parc!$A$2:$A$301,0)),"Réf. inconnue"))</f>
      </c>
      <c r="D185" s="9"/>
      <c r="E185" s="9"/>
      <c r="F185" s="9"/>
      <c r="G185" s="9"/>
      <c r="H185" s="9"/>
      <c r="I185" s="24"/>
      <c r="J185" s="9"/>
      <c r="K185" s="9"/>
      <c r="L185" s="20">
        <f>IF(AND(ISNUMBER($A185),$B185&lt;&gt;"",$D185&lt;&gt;"Examen partiel (ne relance pas)"),IF($A185&lt;=TODAY(),$A185,0),0)</f>
      </c>
      <c r="M185" s="20">
        <f>IF($L185=0,"",$B185&amp;"|"&amp;$L185)</f>
      </c>
    </row>
    <row r="186" spans="1:13" x14ac:dyDescent="0.25">
      <c r="A186" s="24"/>
      <c r="B186" s="9"/>
      <c r="C186" s="20">
        <f>IF($B186="","",IFERROR(INDEX(Parc!$B$2:$B$301,MATCH($B186,Parc!$A$2:$A$301,0)),"Réf. inconnue"))</f>
      </c>
      <c r="D186" s="9"/>
      <c r="E186" s="9"/>
      <c r="F186" s="9"/>
      <c r="G186" s="9"/>
      <c r="H186" s="9"/>
      <c r="I186" s="24"/>
      <c r="J186" s="9"/>
      <c r="K186" s="9"/>
      <c r="L186" s="20">
        <f>IF(AND(ISNUMBER($A186),$B186&lt;&gt;"",$D186&lt;&gt;"Examen partiel (ne relance pas)"),IF($A186&lt;=TODAY(),$A186,0),0)</f>
      </c>
      <c r="M186" s="20">
        <f>IF($L186=0,"",$B186&amp;"|"&amp;$L186)</f>
      </c>
    </row>
    <row r="187" spans="1:13" x14ac:dyDescent="0.25">
      <c r="A187" s="24"/>
      <c r="B187" s="9"/>
      <c r="C187" s="20">
        <f>IF($B187="","",IFERROR(INDEX(Parc!$B$2:$B$301,MATCH($B187,Parc!$A$2:$A$301,0)),"Réf. inconnue"))</f>
      </c>
      <c r="D187" s="9"/>
      <c r="E187" s="9"/>
      <c r="F187" s="9"/>
      <c r="G187" s="9"/>
      <c r="H187" s="9"/>
      <c r="I187" s="24"/>
      <c r="J187" s="9"/>
      <c r="K187" s="9"/>
      <c r="L187" s="20">
        <f>IF(AND(ISNUMBER($A187),$B187&lt;&gt;"",$D187&lt;&gt;"Examen partiel (ne relance pas)"),IF($A187&lt;=TODAY(),$A187,0),0)</f>
      </c>
      <c r="M187" s="20">
        <f>IF($L187=0,"",$B187&amp;"|"&amp;$L187)</f>
      </c>
    </row>
    <row r="188" spans="1:13" x14ac:dyDescent="0.25">
      <c r="A188" s="24"/>
      <c r="B188" s="9"/>
      <c r="C188" s="20">
        <f>IF($B188="","",IFERROR(INDEX(Parc!$B$2:$B$301,MATCH($B188,Parc!$A$2:$A$301,0)),"Réf. inconnue"))</f>
      </c>
      <c r="D188" s="9"/>
      <c r="E188" s="9"/>
      <c r="F188" s="9"/>
      <c r="G188" s="9"/>
      <c r="H188" s="9"/>
      <c r="I188" s="24"/>
      <c r="J188" s="9"/>
      <c r="K188" s="9"/>
      <c r="L188" s="20">
        <f>IF(AND(ISNUMBER($A188),$B188&lt;&gt;"",$D188&lt;&gt;"Examen partiel (ne relance pas)"),IF($A188&lt;=TODAY(),$A188,0),0)</f>
      </c>
      <c r="M188" s="20">
        <f>IF($L188=0,"",$B188&amp;"|"&amp;$L188)</f>
      </c>
    </row>
    <row r="189" spans="1:13" x14ac:dyDescent="0.25">
      <c r="A189" s="24"/>
      <c r="B189" s="9"/>
      <c r="C189" s="20">
        <f>IF($B189="","",IFERROR(INDEX(Parc!$B$2:$B$301,MATCH($B189,Parc!$A$2:$A$301,0)),"Réf. inconnue"))</f>
      </c>
      <c r="D189" s="9"/>
      <c r="E189" s="9"/>
      <c r="F189" s="9"/>
      <c r="G189" s="9"/>
      <c r="H189" s="9"/>
      <c r="I189" s="24"/>
      <c r="J189" s="9"/>
      <c r="K189" s="9"/>
      <c r="L189" s="20">
        <f>IF(AND(ISNUMBER($A189),$B189&lt;&gt;"",$D189&lt;&gt;"Examen partiel (ne relance pas)"),IF($A189&lt;=TODAY(),$A189,0),0)</f>
      </c>
      <c r="M189" s="20">
        <f>IF($L189=0,"",$B189&amp;"|"&amp;$L189)</f>
      </c>
    </row>
    <row r="190" spans="1:13" x14ac:dyDescent="0.25">
      <c r="A190" s="24"/>
      <c r="B190" s="9"/>
      <c r="C190" s="20">
        <f>IF($B190="","",IFERROR(INDEX(Parc!$B$2:$B$301,MATCH($B190,Parc!$A$2:$A$301,0)),"Réf. inconnue"))</f>
      </c>
      <c r="D190" s="9"/>
      <c r="E190" s="9"/>
      <c r="F190" s="9"/>
      <c r="G190" s="9"/>
      <c r="H190" s="9"/>
      <c r="I190" s="24"/>
      <c r="J190" s="9"/>
      <c r="K190" s="9"/>
      <c r="L190" s="20">
        <f>IF(AND(ISNUMBER($A190),$B190&lt;&gt;"",$D190&lt;&gt;"Examen partiel (ne relance pas)"),IF($A190&lt;=TODAY(),$A190,0),0)</f>
      </c>
      <c r="M190" s="20">
        <f>IF($L190=0,"",$B190&amp;"|"&amp;$L190)</f>
      </c>
    </row>
    <row r="191" spans="1:13" x14ac:dyDescent="0.25">
      <c r="A191" s="24"/>
      <c r="B191" s="9"/>
      <c r="C191" s="20">
        <f>IF($B191="","",IFERROR(INDEX(Parc!$B$2:$B$301,MATCH($B191,Parc!$A$2:$A$301,0)),"Réf. inconnue"))</f>
      </c>
      <c r="D191" s="9"/>
      <c r="E191" s="9"/>
      <c r="F191" s="9"/>
      <c r="G191" s="9"/>
      <c r="H191" s="9"/>
      <c r="I191" s="24"/>
      <c r="J191" s="9"/>
      <c r="K191" s="9"/>
      <c r="L191" s="20">
        <f>IF(AND(ISNUMBER($A191),$B191&lt;&gt;"",$D191&lt;&gt;"Examen partiel (ne relance pas)"),IF($A191&lt;=TODAY(),$A191,0),0)</f>
      </c>
      <c r="M191" s="20">
        <f>IF($L191=0,"",$B191&amp;"|"&amp;$L191)</f>
      </c>
    </row>
    <row r="192" spans="1:13" x14ac:dyDescent="0.25">
      <c r="A192" s="24"/>
      <c r="B192" s="9"/>
      <c r="C192" s="20">
        <f>IF($B192="","",IFERROR(INDEX(Parc!$B$2:$B$301,MATCH($B192,Parc!$A$2:$A$301,0)),"Réf. inconnue"))</f>
      </c>
      <c r="D192" s="9"/>
      <c r="E192" s="9"/>
      <c r="F192" s="9"/>
      <c r="G192" s="9"/>
      <c r="H192" s="9"/>
      <c r="I192" s="24"/>
      <c r="J192" s="9"/>
      <c r="K192" s="9"/>
      <c r="L192" s="20">
        <f>IF(AND(ISNUMBER($A192),$B192&lt;&gt;"",$D192&lt;&gt;"Examen partiel (ne relance pas)"),IF($A192&lt;=TODAY(),$A192,0),0)</f>
      </c>
      <c r="M192" s="20">
        <f>IF($L192=0,"",$B192&amp;"|"&amp;$L192)</f>
      </c>
    </row>
    <row r="193" spans="1:13" x14ac:dyDescent="0.25">
      <c r="A193" s="24"/>
      <c r="B193" s="9"/>
      <c r="C193" s="20">
        <f>IF($B193="","",IFERROR(INDEX(Parc!$B$2:$B$301,MATCH($B193,Parc!$A$2:$A$301,0)),"Réf. inconnue"))</f>
      </c>
      <c r="D193" s="9"/>
      <c r="E193" s="9"/>
      <c r="F193" s="9"/>
      <c r="G193" s="9"/>
      <c r="H193" s="9"/>
      <c r="I193" s="24"/>
      <c r="J193" s="9"/>
      <c r="K193" s="9"/>
      <c r="L193" s="20">
        <f>IF(AND(ISNUMBER($A193),$B193&lt;&gt;"",$D193&lt;&gt;"Examen partiel (ne relance pas)"),IF($A193&lt;=TODAY(),$A193,0),0)</f>
      </c>
      <c r="M193" s="20">
        <f>IF($L193=0,"",$B193&amp;"|"&amp;$L193)</f>
      </c>
    </row>
    <row r="194" spans="1:13" x14ac:dyDescent="0.25">
      <c r="A194" s="24"/>
      <c r="B194" s="9"/>
      <c r="C194" s="20">
        <f>IF($B194="","",IFERROR(INDEX(Parc!$B$2:$B$301,MATCH($B194,Parc!$A$2:$A$301,0)),"Réf. inconnue"))</f>
      </c>
      <c r="D194" s="9"/>
      <c r="E194" s="9"/>
      <c r="F194" s="9"/>
      <c r="G194" s="9"/>
      <c r="H194" s="9"/>
      <c r="I194" s="24"/>
      <c r="J194" s="9"/>
      <c r="K194" s="9"/>
      <c r="L194" s="20">
        <f>IF(AND(ISNUMBER($A194),$B194&lt;&gt;"",$D194&lt;&gt;"Examen partiel (ne relance pas)"),IF($A194&lt;=TODAY(),$A194,0),0)</f>
      </c>
      <c r="M194" s="20">
        <f>IF($L194=0,"",$B194&amp;"|"&amp;$L194)</f>
      </c>
    </row>
    <row r="195" spans="1:13" x14ac:dyDescent="0.25">
      <c r="A195" s="24"/>
      <c r="B195" s="9"/>
      <c r="C195" s="20">
        <f>IF($B195="","",IFERROR(INDEX(Parc!$B$2:$B$301,MATCH($B195,Parc!$A$2:$A$301,0)),"Réf. inconnue"))</f>
      </c>
      <c r="D195" s="9"/>
      <c r="E195" s="9"/>
      <c r="F195" s="9"/>
      <c r="G195" s="9"/>
      <c r="H195" s="9"/>
      <c r="I195" s="24"/>
      <c r="J195" s="9"/>
      <c r="K195" s="9"/>
      <c r="L195" s="20">
        <f>IF(AND(ISNUMBER($A195),$B195&lt;&gt;"",$D195&lt;&gt;"Examen partiel (ne relance pas)"),IF($A195&lt;=TODAY(),$A195,0),0)</f>
      </c>
      <c r="M195" s="20">
        <f>IF($L195=0,"",$B195&amp;"|"&amp;$L195)</f>
      </c>
    </row>
    <row r="196" spans="1:13" x14ac:dyDescent="0.25">
      <c r="A196" s="24"/>
      <c r="B196" s="9"/>
      <c r="C196" s="20">
        <f>IF($B196="","",IFERROR(INDEX(Parc!$B$2:$B$301,MATCH($B196,Parc!$A$2:$A$301,0)),"Réf. inconnue"))</f>
      </c>
      <c r="D196" s="9"/>
      <c r="E196" s="9"/>
      <c r="F196" s="9"/>
      <c r="G196" s="9"/>
      <c r="H196" s="9"/>
      <c r="I196" s="24"/>
      <c r="J196" s="9"/>
      <c r="K196" s="9"/>
      <c r="L196" s="20">
        <f>IF(AND(ISNUMBER($A196),$B196&lt;&gt;"",$D196&lt;&gt;"Examen partiel (ne relance pas)"),IF($A196&lt;=TODAY(),$A196,0),0)</f>
      </c>
      <c r="M196" s="20">
        <f>IF($L196=0,"",$B196&amp;"|"&amp;$L196)</f>
      </c>
    </row>
    <row r="197" spans="1:13" x14ac:dyDescent="0.25">
      <c r="A197" s="24"/>
      <c r="B197" s="9"/>
      <c r="C197" s="20">
        <f>IF($B197="","",IFERROR(INDEX(Parc!$B$2:$B$301,MATCH($B197,Parc!$A$2:$A$301,0)),"Réf. inconnue"))</f>
      </c>
      <c r="D197" s="9"/>
      <c r="E197" s="9"/>
      <c r="F197" s="9"/>
      <c r="G197" s="9"/>
      <c r="H197" s="9"/>
      <c r="I197" s="24"/>
      <c r="J197" s="9"/>
      <c r="K197" s="9"/>
      <c r="L197" s="20">
        <f>IF(AND(ISNUMBER($A197),$B197&lt;&gt;"",$D197&lt;&gt;"Examen partiel (ne relance pas)"),IF($A197&lt;=TODAY(),$A197,0),0)</f>
      </c>
      <c r="M197" s="20">
        <f>IF($L197=0,"",$B197&amp;"|"&amp;$L197)</f>
      </c>
    </row>
    <row r="198" spans="1:13" x14ac:dyDescent="0.25">
      <c r="A198" s="24"/>
      <c r="B198" s="9"/>
      <c r="C198" s="20">
        <f>IF($B198="","",IFERROR(INDEX(Parc!$B$2:$B$301,MATCH($B198,Parc!$A$2:$A$301,0)),"Réf. inconnue"))</f>
      </c>
      <c r="D198" s="9"/>
      <c r="E198" s="9"/>
      <c r="F198" s="9"/>
      <c r="G198" s="9"/>
      <c r="H198" s="9"/>
      <c r="I198" s="24"/>
      <c r="J198" s="9"/>
      <c r="K198" s="9"/>
      <c r="L198" s="20">
        <f>IF(AND(ISNUMBER($A198),$B198&lt;&gt;"",$D198&lt;&gt;"Examen partiel (ne relance pas)"),IF($A198&lt;=TODAY(),$A198,0),0)</f>
      </c>
      <c r="M198" s="20">
        <f>IF($L198=0,"",$B198&amp;"|"&amp;$L198)</f>
      </c>
    </row>
    <row r="199" spans="1:13" x14ac:dyDescent="0.25">
      <c r="A199" s="24"/>
      <c r="B199" s="9"/>
      <c r="C199" s="20">
        <f>IF($B199="","",IFERROR(INDEX(Parc!$B$2:$B$301,MATCH($B199,Parc!$A$2:$A$301,0)),"Réf. inconnue"))</f>
      </c>
      <c r="D199" s="9"/>
      <c r="E199" s="9"/>
      <c r="F199" s="9"/>
      <c r="G199" s="9"/>
      <c r="H199" s="9"/>
      <c r="I199" s="24"/>
      <c r="J199" s="9"/>
      <c r="K199" s="9"/>
      <c r="L199" s="20">
        <f>IF(AND(ISNUMBER($A199),$B199&lt;&gt;"",$D199&lt;&gt;"Examen partiel (ne relance pas)"),IF($A199&lt;=TODAY(),$A199,0),0)</f>
      </c>
      <c r="M199" s="20">
        <f>IF($L199=0,"",$B199&amp;"|"&amp;$L199)</f>
      </c>
    </row>
    <row r="200" spans="1:13" x14ac:dyDescent="0.25">
      <c r="A200" s="24"/>
      <c r="B200" s="9"/>
      <c r="C200" s="20">
        <f>IF($B200="","",IFERROR(INDEX(Parc!$B$2:$B$301,MATCH($B200,Parc!$A$2:$A$301,0)),"Réf. inconnue"))</f>
      </c>
      <c r="D200" s="9"/>
      <c r="E200" s="9"/>
      <c r="F200" s="9"/>
      <c r="G200" s="9"/>
      <c r="H200" s="9"/>
      <c r="I200" s="24"/>
      <c r="J200" s="9"/>
      <c r="K200" s="9"/>
      <c r="L200" s="20">
        <f>IF(AND(ISNUMBER($A200),$B200&lt;&gt;"",$D200&lt;&gt;"Examen partiel (ne relance pas)"),IF($A200&lt;=TODAY(),$A200,0),0)</f>
      </c>
      <c r="M200" s="20">
        <f>IF($L200=0,"",$B200&amp;"|"&amp;$L200)</f>
      </c>
    </row>
    <row r="201" spans="1:13" x14ac:dyDescent="0.25">
      <c r="A201" s="24"/>
      <c r="B201" s="9"/>
      <c r="C201" s="20">
        <f>IF($B201="","",IFERROR(INDEX(Parc!$B$2:$B$301,MATCH($B201,Parc!$A$2:$A$301,0)),"Réf. inconnue"))</f>
      </c>
      <c r="D201" s="9"/>
      <c r="E201" s="9"/>
      <c r="F201" s="9"/>
      <c r="G201" s="9"/>
      <c r="H201" s="9"/>
      <c r="I201" s="24"/>
      <c r="J201" s="9"/>
      <c r="K201" s="9"/>
      <c r="L201" s="20">
        <f>IF(AND(ISNUMBER($A201),$B201&lt;&gt;"",$D201&lt;&gt;"Examen partiel (ne relance pas)"),IF($A201&lt;=TODAY(),$A201,0),0)</f>
      </c>
      <c r="M201" s="20">
        <f>IF($L201=0,"",$B201&amp;"|"&amp;$L201)</f>
      </c>
    </row>
    <row r="202" spans="1:13" x14ac:dyDescent="0.25">
      <c r="A202" s="24"/>
      <c r="B202" s="9"/>
      <c r="C202" s="20">
        <f>IF($B202="","",IFERROR(INDEX(Parc!$B$2:$B$301,MATCH($B202,Parc!$A$2:$A$301,0)),"Réf. inconnue"))</f>
      </c>
      <c r="D202" s="9"/>
      <c r="E202" s="9"/>
      <c r="F202" s="9"/>
      <c r="G202" s="9"/>
      <c r="H202" s="9"/>
      <c r="I202" s="24"/>
      <c r="J202" s="9"/>
      <c r="K202" s="9"/>
      <c r="L202" s="20">
        <f>IF(AND(ISNUMBER($A202),$B202&lt;&gt;"",$D202&lt;&gt;"Examen partiel (ne relance pas)"),IF($A202&lt;=TODAY(),$A202,0),0)</f>
      </c>
      <c r="M202" s="20">
        <f>IF($L202=0,"",$B202&amp;"|"&amp;$L202)</f>
      </c>
    </row>
    <row r="203" spans="1:13" x14ac:dyDescent="0.25">
      <c r="A203" s="24"/>
      <c r="B203" s="9"/>
      <c r="C203" s="20">
        <f>IF($B203="","",IFERROR(INDEX(Parc!$B$2:$B$301,MATCH($B203,Parc!$A$2:$A$301,0)),"Réf. inconnue"))</f>
      </c>
      <c r="D203" s="9"/>
      <c r="E203" s="9"/>
      <c r="F203" s="9"/>
      <c r="G203" s="9"/>
      <c r="H203" s="9"/>
      <c r="I203" s="24"/>
      <c r="J203" s="9"/>
      <c r="K203" s="9"/>
      <c r="L203" s="20">
        <f>IF(AND(ISNUMBER($A203),$B203&lt;&gt;"",$D203&lt;&gt;"Examen partiel (ne relance pas)"),IF($A203&lt;=TODAY(),$A203,0),0)</f>
      </c>
      <c r="M203" s="20">
        <f>IF($L203=0,"",$B203&amp;"|"&amp;$L203)</f>
      </c>
    </row>
    <row r="204" spans="1:13" x14ac:dyDescent="0.25">
      <c r="A204" s="24"/>
      <c r="B204" s="9"/>
      <c r="C204" s="20">
        <f>IF($B204="","",IFERROR(INDEX(Parc!$B$2:$B$301,MATCH($B204,Parc!$A$2:$A$301,0)),"Réf. inconnue"))</f>
      </c>
      <c r="D204" s="9"/>
      <c r="E204" s="9"/>
      <c r="F204" s="9"/>
      <c r="G204" s="9"/>
      <c r="H204" s="9"/>
      <c r="I204" s="24"/>
      <c r="J204" s="9"/>
      <c r="K204" s="9"/>
      <c r="L204" s="20">
        <f>IF(AND(ISNUMBER($A204),$B204&lt;&gt;"",$D204&lt;&gt;"Examen partiel (ne relance pas)"),IF($A204&lt;=TODAY(),$A204,0),0)</f>
      </c>
      <c r="M204" s="20">
        <f>IF($L204=0,"",$B204&amp;"|"&amp;$L204)</f>
      </c>
    </row>
    <row r="205" spans="1:13" x14ac:dyDescent="0.25">
      <c r="A205" s="24"/>
      <c r="B205" s="9"/>
      <c r="C205" s="20">
        <f>IF($B205="","",IFERROR(INDEX(Parc!$B$2:$B$301,MATCH($B205,Parc!$A$2:$A$301,0)),"Réf. inconnue"))</f>
      </c>
      <c r="D205" s="9"/>
      <c r="E205" s="9"/>
      <c r="F205" s="9"/>
      <c r="G205" s="9"/>
      <c r="H205" s="9"/>
      <c r="I205" s="24"/>
      <c r="J205" s="9"/>
      <c r="K205" s="9"/>
      <c r="L205" s="20">
        <f>IF(AND(ISNUMBER($A205),$B205&lt;&gt;"",$D205&lt;&gt;"Examen partiel (ne relance pas)"),IF($A205&lt;=TODAY(),$A205,0),0)</f>
      </c>
      <c r="M205" s="20">
        <f>IF($L205=0,"",$B205&amp;"|"&amp;$L205)</f>
      </c>
    </row>
    <row r="206" spans="1:13" x14ac:dyDescent="0.25">
      <c r="A206" s="24"/>
      <c r="B206" s="9"/>
      <c r="C206" s="20">
        <f>IF($B206="","",IFERROR(INDEX(Parc!$B$2:$B$301,MATCH($B206,Parc!$A$2:$A$301,0)),"Réf. inconnue"))</f>
      </c>
      <c r="D206" s="9"/>
      <c r="E206" s="9"/>
      <c r="F206" s="9"/>
      <c r="G206" s="9"/>
      <c r="H206" s="9"/>
      <c r="I206" s="24"/>
      <c r="J206" s="9"/>
      <c r="K206" s="9"/>
      <c r="L206" s="20">
        <f>IF(AND(ISNUMBER($A206),$B206&lt;&gt;"",$D206&lt;&gt;"Examen partiel (ne relance pas)"),IF($A206&lt;=TODAY(),$A206,0),0)</f>
      </c>
      <c r="M206" s="20">
        <f>IF($L206=0,"",$B206&amp;"|"&amp;$L206)</f>
      </c>
    </row>
    <row r="207" spans="1:13" x14ac:dyDescent="0.25">
      <c r="A207" s="24"/>
      <c r="B207" s="9"/>
      <c r="C207" s="20">
        <f>IF($B207="","",IFERROR(INDEX(Parc!$B$2:$B$301,MATCH($B207,Parc!$A$2:$A$301,0)),"Réf. inconnue"))</f>
      </c>
      <c r="D207" s="9"/>
      <c r="E207" s="9"/>
      <c r="F207" s="9"/>
      <c r="G207" s="9"/>
      <c r="H207" s="9"/>
      <c r="I207" s="24"/>
      <c r="J207" s="9"/>
      <c r="K207" s="9"/>
      <c r="L207" s="20">
        <f>IF(AND(ISNUMBER($A207),$B207&lt;&gt;"",$D207&lt;&gt;"Examen partiel (ne relance pas)"),IF($A207&lt;=TODAY(),$A207,0),0)</f>
      </c>
      <c r="M207" s="20">
        <f>IF($L207=0,"",$B207&amp;"|"&amp;$L207)</f>
      </c>
    </row>
    <row r="208" spans="1:13" x14ac:dyDescent="0.25">
      <c r="A208" s="24"/>
      <c r="B208" s="9"/>
      <c r="C208" s="20">
        <f>IF($B208="","",IFERROR(INDEX(Parc!$B$2:$B$301,MATCH($B208,Parc!$A$2:$A$301,0)),"Réf. inconnue"))</f>
      </c>
      <c r="D208" s="9"/>
      <c r="E208" s="9"/>
      <c r="F208" s="9"/>
      <c r="G208" s="9"/>
      <c r="H208" s="9"/>
      <c r="I208" s="24"/>
      <c r="J208" s="9"/>
      <c r="K208" s="9"/>
      <c r="L208" s="20">
        <f>IF(AND(ISNUMBER($A208),$B208&lt;&gt;"",$D208&lt;&gt;"Examen partiel (ne relance pas)"),IF($A208&lt;=TODAY(),$A208,0),0)</f>
      </c>
      <c r="M208" s="20">
        <f>IF($L208=0,"",$B208&amp;"|"&amp;$L208)</f>
      </c>
    </row>
    <row r="209" spans="1:13" x14ac:dyDescent="0.25">
      <c r="A209" s="24"/>
      <c r="B209" s="9"/>
      <c r="C209" s="20">
        <f>IF($B209="","",IFERROR(INDEX(Parc!$B$2:$B$301,MATCH($B209,Parc!$A$2:$A$301,0)),"Réf. inconnue"))</f>
      </c>
      <c r="D209" s="9"/>
      <c r="E209" s="9"/>
      <c r="F209" s="9"/>
      <c r="G209" s="9"/>
      <c r="H209" s="9"/>
      <c r="I209" s="24"/>
      <c r="J209" s="9"/>
      <c r="K209" s="9"/>
      <c r="L209" s="20">
        <f>IF(AND(ISNUMBER($A209),$B209&lt;&gt;"",$D209&lt;&gt;"Examen partiel (ne relance pas)"),IF($A209&lt;=TODAY(),$A209,0),0)</f>
      </c>
      <c r="M209" s="20">
        <f>IF($L209=0,"",$B209&amp;"|"&amp;$L209)</f>
      </c>
    </row>
    <row r="210" spans="1:13" x14ac:dyDescent="0.25">
      <c r="A210" s="24"/>
      <c r="B210" s="9"/>
      <c r="C210" s="20">
        <f>IF($B210="","",IFERROR(INDEX(Parc!$B$2:$B$301,MATCH($B210,Parc!$A$2:$A$301,0)),"Réf. inconnue"))</f>
      </c>
      <c r="D210" s="9"/>
      <c r="E210" s="9"/>
      <c r="F210" s="9"/>
      <c r="G210" s="9"/>
      <c r="H210" s="9"/>
      <c r="I210" s="24"/>
      <c r="J210" s="9"/>
      <c r="K210" s="9"/>
      <c r="L210" s="20">
        <f>IF(AND(ISNUMBER($A210),$B210&lt;&gt;"",$D210&lt;&gt;"Examen partiel (ne relance pas)"),IF($A210&lt;=TODAY(),$A210,0),0)</f>
      </c>
      <c r="M210" s="20">
        <f>IF($L210=0,"",$B210&amp;"|"&amp;$L210)</f>
      </c>
    </row>
    <row r="211" spans="1:13" x14ac:dyDescent="0.25">
      <c r="A211" s="24"/>
      <c r="B211" s="9"/>
      <c r="C211" s="20">
        <f>IF($B211="","",IFERROR(INDEX(Parc!$B$2:$B$301,MATCH($B211,Parc!$A$2:$A$301,0)),"Réf. inconnue"))</f>
      </c>
      <c r="D211" s="9"/>
      <c r="E211" s="9"/>
      <c r="F211" s="9"/>
      <c r="G211" s="9"/>
      <c r="H211" s="9"/>
      <c r="I211" s="24"/>
      <c r="J211" s="9"/>
      <c r="K211" s="9"/>
      <c r="L211" s="20">
        <f>IF(AND(ISNUMBER($A211),$B211&lt;&gt;"",$D211&lt;&gt;"Examen partiel (ne relance pas)"),IF($A211&lt;=TODAY(),$A211,0),0)</f>
      </c>
      <c r="M211" s="20">
        <f>IF($L211=0,"",$B211&amp;"|"&amp;$L211)</f>
      </c>
    </row>
    <row r="212" spans="1:13" x14ac:dyDescent="0.25">
      <c r="A212" s="24"/>
      <c r="B212" s="9"/>
      <c r="C212" s="20">
        <f>IF($B212="","",IFERROR(INDEX(Parc!$B$2:$B$301,MATCH($B212,Parc!$A$2:$A$301,0)),"Réf. inconnue"))</f>
      </c>
      <c r="D212" s="9"/>
      <c r="E212" s="9"/>
      <c r="F212" s="9"/>
      <c r="G212" s="9"/>
      <c r="H212" s="9"/>
      <c r="I212" s="24"/>
      <c r="J212" s="9"/>
      <c r="K212" s="9"/>
      <c r="L212" s="20">
        <f>IF(AND(ISNUMBER($A212),$B212&lt;&gt;"",$D212&lt;&gt;"Examen partiel (ne relance pas)"),IF($A212&lt;=TODAY(),$A212,0),0)</f>
      </c>
      <c r="M212" s="20">
        <f>IF($L212=0,"",$B212&amp;"|"&amp;$L212)</f>
      </c>
    </row>
    <row r="213" spans="1:13" x14ac:dyDescent="0.25">
      <c r="A213" s="24"/>
      <c r="B213" s="9"/>
      <c r="C213" s="20">
        <f>IF($B213="","",IFERROR(INDEX(Parc!$B$2:$B$301,MATCH($B213,Parc!$A$2:$A$301,0)),"Réf. inconnue"))</f>
      </c>
      <c r="D213" s="9"/>
      <c r="E213" s="9"/>
      <c r="F213" s="9"/>
      <c r="G213" s="9"/>
      <c r="H213" s="9"/>
      <c r="I213" s="24"/>
      <c r="J213" s="9"/>
      <c r="K213" s="9"/>
      <c r="L213" s="20">
        <f>IF(AND(ISNUMBER($A213),$B213&lt;&gt;"",$D213&lt;&gt;"Examen partiel (ne relance pas)"),IF($A213&lt;=TODAY(),$A213,0),0)</f>
      </c>
      <c r="M213" s="20">
        <f>IF($L213=0,"",$B213&amp;"|"&amp;$L213)</f>
      </c>
    </row>
    <row r="214" spans="1:13" x14ac:dyDescent="0.25">
      <c r="A214" s="24"/>
      <c r="B214" s="9"/>
      <c r="C214" s="20">
        <f>IF($B214="","",IFERROR(INDEX(Parc!$B$2:$B$301,MATCH($B214,Parc!$A$2:$A$301,0)),"Réf. inconnue"))</f>
      </c>
      <c r="D214" s="9"/>
      <c r="E214" s="9"/>
      <c r="F214" s="9"/>
      <c r="G214" s="9"/>
      <c r="H214" s="9"/>
      <c r="I214" s="24"/>
      <c r="J214" s="9"/>
      <c r="K214" s="9"/>
      <c r="L214" s="20">
        <f>IF(AND(ISNUMBER($A214),$B214&lt;&gt;"",$D214&lt;&gt;"Examen partiel (ne relance pas)"),IF($A214&lt;=TODAY(),$A214,0),0)</f>
      </c>
      <c r="M214" s="20">
        <f>IF($L214=0,"",$B214&amp;"|"&amp;$L214)</f>
      </c>
    </row>
    <row r="215" spans="1:13" x14ac:dyDescent="0.25">
      <c r="A215" s="24"/>
      <c r="B215" s="9"/>
      <c r="C215" s="20">
        <f>IF($B215="","",IFERROR(INDEX(Parc!$B$2:$B$301,MATCH($B215,Parc!$A$2:$A$301,0)),"Réf. inconnue"))</f>
      </c>
      <c r="D215" s="9"/>
      <c r="E215" s="9"/>
      <c r="F215" s="9"/>
      <c r="G215" s="9"/>
      <c r="H215" s="9"/>
      <c r="I215" s="24"/>
      <c r="J215" s="9"/>
      <c r="K215" s="9"/>
      <c r="L215" s="20">
        <f>IF(AND(ISNUMBER($A215),$B215&lt;&gt;"",$D215&lt;&gt;"Examen partiel (ne relance pas)"),IF($A215&lt;=TODAY(),$A215,0),0)</f>
      </c>
      <c r="M215" s="20">
        <f>IF($L215=0,"",$B215&amp;"|"&amp;$L215)</f>
      </c>
    </row>
    <row r="216" spans="1:13" x14ac:dyDescent="0.25">
      <c r="A216" s="24"/>
      <c r="B216" s="9"/>
      <c r="C216" s="20">
        <f>IF($B216="","",IFERROR(INDEX(Parc!$B$2:$B$301,MATCH($B216,Parc!$A$2:$A$301,0)),"Réf. inconnue"))</f>
      </c>
      <c r="D216" s="9"/>
      <c r="E216" s="9"/>
      <c r="F216" s="9"/>
      <c r="G216" s="9"/>
      <c r="H216" s="9"/>
      <c r="I216" s="24"/>
      <c r="J216" s="9"/>
      <c r="K216" s="9"/>
      <c r="L216" s="20">
        <f>IF(AND(ISNUMBER($A216),$B216&lt;&gt;"",$D216&lt;&gt;"Examen partiel (ne relance pas)"),IF($A216&lt;=TODAY(),$A216,0),0)</f>
      </c>
      <c r="M216" s="20">
        <f>IF($L216=0,"",$B216&amp;"|"&amp;$L216)</f>
      </c>
    </row>
    <row r="217" spans="1:13" x14ac:dyDescent="0.25">
      <c r="A217" s="24"/>
      <c r="B217" s="9"/>
      <c r="C217" s="20">
        <f>IF($B217="","",IFERROR(INDEX(Parc!$B$2:$B$301,MATCH($B217,Parc!$A$2:$A$301,0)),"Réf. inconnue"))</f>
      </c>
      <c r="D217" s="9"/>
      <c r="E217" s="9"/>
      <c r="F217" s="9"/>
      <c r="G217" s="9"/>
      <c r="H217" s="9"/>
      <c r="I217" s="24"/>
      <c r="J217" s="9"/>
      <c r="K217" s="9"/>
      <c r="L217" s="20">
        <f>IF(AND(ISNUMBER($A217),$B217&lt;&gt;"",$D217&lt;&gt;"Examen partiel (ne relance pas)"),IF($A217&lt;=TODAY(),$A217,0),0)</f>
      </c>
      <c r="M217" s="20">
        <f>IF($L217=0,"",$B217&amp;"|"&amp;$L217)</f>
      </c>
    </row>
    <row r="218" spans="1:13" x14ac:dyDescent="0.25">
      <c r="A218" s="24"/>
      <c r="B218" s="9"/>
      <c r="C218" s="20">
        <f>IF($B218="","",IFERROR(INDEX(Parc!$B$2:$B$301,MATCH($B218,Parc!$A$2:$A$301,0)),"Réf. inconnue"))</f>
      </c>
      <c r="D218" s="9"/>
      <c r="E218" s="9"/>
      <c r="F218" s="9"/>
      <c r="G218" s="9"/>
      <c r="H218" s="9"/>
      <c r="I218" s="24"/>
      <c r="J218" s="9"/>
      <c r="K218" s="9"/>
      <c r="L218" s="20">
        <f>IF(AND(ISNUMBER($A218),$B218&lt;&gt;"",$D218&lt;&gt;"Examen partiel (ne relance pas)"),IF($A218&lt;=TODAY(),$A218,0),0)</f>
      </c>
      <c r="M218" s="20">
        <f>IF($L218=0,"",$B218&amp;"|"&amp;$L218)</f>
      </c>
    </row>
    <row r="219" spans="1:13" x14ac:dyDescent="0.25">
      <c r="A219" s="24"/>
      <c r="B219" s="9"/>
      <c r="C219" s="20">
        <f>IF($B219="","",IFERROR(INDEX(Parc!$B$2:$B$301,MATCH($B219,Parc!$A$2:$A$301,0)),"Réf. inconnue"))</f>
      </c>
      <c r="D219" s="9"/>
      <c r="E219" s="9"/>
      <c r="F219" s="9"/>
      <c r="G219" s="9"/>
      <c r="H219" s="9"/>
      <c r="I219" s="24"/>
      <c r="J219" s="9"/>
      <c r="K219" s="9"/>
      <c r="L219" s="20">
        <f>IF(AND(ISNUMBER($A219),$B219&lt;&gt;"",$D219&lt;&gt;"Examen partiel (ne relance pas)"),IF($A219&lt;=TODAY(),$A219,0),0)</f>
      </c>
      <c r="M219" s="20">
        <f>IF($L219=0,"",$B219&amp;"|"&amp;$L219)</f>
      </c>
    </row>
    <row r="220" spans="1:13" x14ac:dyDescent="0.25">
      <c r="A220" s="24"/>
      <c r="B220" s="9"/>
      <c r="C220" s="20">
        <f>IF($B220="","",IFERROR(INDEX(Parc!$B$2:$B$301,MATCH($B220,Parc!$A$2:$A$301,0)),"Réf. inconnue"))</f>
      </c>
      <c r="D220" s="9"/>
      <c r="E220" s="9"/>
      <c r="F220" s="9"/>
      <c r="G220" s="9"/>
      <c r="H220" s="9"/>
      <c r="I220" s="24"/>
      <c r="J220" s="9"/>
      <c r="K220" s="9"/>
      <c r="L220" s="20">
        <f>IF(AND(ISNUMBER($A220),$B220&lt;&gt;"",$D220&lt;&gt;"Examen partiel (ne relance pas)"),IF($A220&lt;=TODAY(),$A220,0),0)</f>
      </c>
      <c r="M220" s="20">
        <f>IF($L220=0,"",$B220&amp;"|"&amp;$L220)</f>
      </c>
    </row>
    <row r="221" spans="1:13" x14ac:dyDescent="0.25">
      <c r="A221" s="24"/>
      <c r="B221" s="9"/>
      <c r="C221" s="20">
        <f>IF($B221="","",IFERROR(INDEX(Parc!$B$2:$B$301,MATCH($B221,Parc!$A$2:$A$301,0)),"Réf. inconnue"))</f>
      </c>
      <c r="D221" s="9"/>
      <c r="E221" s="9"/>
      <c r="F221" s="9"/>
      <c r="G221" s="9"/>
      <c r="H221" s="9"/>
      <c r="I221" s="24"/>
      <c r="J221" s="9"/>
      <c r="K221" s="9"/>
      <c r="L221" s="20">
        <f>IF(AND(ISNUMBER($A221),$B221&lt;&gt;"",$D221&lt;&gt;"Examen partiel (ne relance pas)"),IF($A221&lt;=TODAY(),$A221,0),0)</f>
      </c>
      <c r="M221" s="20">
        <f>IF($L221=0,"",$B221&amp;"|"&amp;$L221)</f>
      </c>
    </row>
    <row r="222" spans="1:13" x14ac:dyDescent="0.25">
      <c r="A222" s="24"/>
      <c r="B222" s="9"/>
      <c r="C222" s="20">
        <f>IF($B222="","",IFERROR(INDEX(Parc!$B$2:$B$301,MATCH($B222,Parc!$A$2:$A$301,0)),"Réf. inconnue"))</f>
      </c>
      <c r="D222" s="9"/>
      <c r="E222" s="9"/>
      <c r="F222" s="9"/>
      <c r="G222" s="9"/>
      <c r="H222" s="9"/>
      <c r="I222" s="24"/>
      <c r="J222" s="9"/>
      <c r="K222" s="9"/>
      <c r="L222" s="20">
        <f>IF(AND(ISNUMBER($A222),$B222&lt;&gt;"",$D222&lt;&gt;"Examen partiel (ne relance pas)"),IF($A222&lt;=TODAY(),$A222,0),0)</f>
      </c>
      <c r="M222" s="20">
        <f>IF($L222=0,"",$B222&amp;"|"&amp;$L222)</f>
      </c>
    </row>
    <row r="223" spans="1:13" x14ac:dyDescent="0.25">
      <c r="A223" s="24"/>
      <c r="B223" s="9"/>
      <c r="C223" s="20">
        <f>IF($B223="","",IFERROR(INDEX(Parc!$B$2:$B$301,MATCH($B223,Parc!$A$2:$A$301,0)),"Réf. inconnue"))</f>
      </c>
      <c r="D223" s="9"/>
      <c r="E223" s="9"/>
      <c r="F223" s="9"/>
      <c r="G223" s="9"/>
      <c r="H223" s="9"/>
      <c r="I223" s="24"/>
      <c r="J223" s="9"/>
      <c r="K223" s="9"/>
      <c r="L223" s="20">
        <f>IF(AND(ISNUMBER($A223),$B223&lt;&gt;"",$D223&lt;&gt;"Examen partiel (ne relance pas)"),IF($A223&lt;=TODAY(),$A223,0),0)</f>
      </c>
      <c r="M223" s="20">
        <f>IF($L223=0,"",$B223&amp;"|"&amp;$L223)</f>
      </c>
    </row>
    <row r="224" spans="1:13" x14ac:dyDescent="0.25">
      <c r="A224" s="24"/>
      <c r="B224" s="9"/>
      <c r="C224" s="20">
        <f>IF($B224="","",IFERROR(INDEX(Parc!$B$2:$B$301,MATCH($B224,Parc!$A$2:$A$301,0)),"Réf. inconnue"))</f>
      </c>
      <c r="D224" s="9"/>
      <c r="E224" s="9"/>
      <c r="F224" s="9"/>
      <c r="G224" s="9"/>
      <c r="H224" s="9"/>
      <c r="I224" s="24"/>
      <c r="J224" s="9"/>
      <c r="K224" s="9"/>
      <c r="L224" s="20">
        <f>IF(AND(ISNUMBER($A224),$B224&lt;&gt;"",$D224&lt;&gt;"Examen partiel (ne relance pas)"),IF($A224&lt;=TODAY(),$A224,0),0)</f>
      </c>
      <c r="M224" s="20">
        <f>IF($L224=0,"",$B224&amp;"|"&amp;$L224)</f>
      </c>
    </row>
    <row r="225" spans="1:13" x14ac:dyDescent="0.25">
      <c r="A225" s="24"/>
      <c r="B225" s="9"/>
      <c r="C225" s="20">
        <f>IF($B225="","",IFERROR(INDEX(Parc!$B$2:$B$301,MATCH($B225,Parc!$A$2:$A$301,0)),"Réf. inconnue"))</f>
      </c>
      <c r="D225" s="9"/>
      <c r="E225" s="9"/>
      <c r="F225" s="9"/>
      <c r="G225" s="9"/>
      <c r="H225" s="9"/>
      <c r="I225" s="24"/>
      <c r="J225" s="9"/>
      <c r="K225" s="9"/>
      <c r="L225" s="20">
        <f>IF(AND(ISNUMBER($A225),$B225&lt;&gt;"",$D225&lt;&gt;"Examen partiel (ne relance pas)"),IF($A225&lt;=TODAY(),$A225,0),0)</f>
      </c>
      <c r="M225" s="20">
        <f>IF($L225=0,"",$B225&amp;"|"&amp;$L225)</f>
      </c>
    </row>
    <row r="226" spans="1:13" x14ac:dyDescent="0.25">
      <c r="A226" s="24"/>
      <c r="B226" s="9"/>
      <c r="C226" s="20">
        <f>IF($B226="","",IFERROR(INDEX(Parc!$B$2:$B$301,MATCH($B226,Parc!$A$2:$A$301,0)),"Réf. inconnue"))</f>
      </c>
      <c r="D226" s="9"/>
      <c r="E226" s="9"/>
      <c r="F226" s="9"/>
      <c r="G226" s="9"/>
      <c r="H226" s="9"/>
      <c r="I226" s="24"/>
      <c r="J226" s="9"/>
      <c r="K226" s="9"/>
      <c r="L226" s="20">
        <f>IF(AND(ISNUMBER($A226),$B226&lt;&gt;"",$D226&lt;&gt;"Examen partiel (ne relance pas)"),IF($A226&lt;=TODAY(),$A226,0),0)</f>
      </c>
      <c r="M226" s="20">
        <f>IF($L226=0,"",$B226&amp;"|"&amp;$L226)</f>
      </c>
    </row>
    <row r="227" spans="1:13" x14ac:dyDescent="0.25">
      <c r="A227" s="24"/>
      <c r="B227" s="9"/>
      <c r="C227" s="20">
        <f>IF($B227="","",IFERROR(INDEX(Parc!$B$2:$B$301,MATCH($B227,Parc!$A$2:$A$301,0)),"Réf. inconnue"))</f>
      </c>
      <c r="D227" s="9"/>
      <c r="E227" s="9"/>
      <c r="F227" s="9"/>
      <c r="G227" s="9"/>
      <c r="H227" s="9"/>
      <c r="I227" s="24"/>
      <c r="J227" s="9"/>
      <c r="K227" s="9"/>
      <c r="L227" s="20">
        <f>IF(AND(ISNUMBER($A227),$B227&lt;&gt;"",$D227&lt;&gt;"Examen partiel (ne relance pas)"),IF($A227&lt;=TODAY(),$A227,0),0)</f>
      </c>
      <c r="M227" s="20">
        <f>IF($L227=0,"",$B227&amp;"|"&amp;$L227)</f>
      </c>
    </row>
    <row r="228" spans="1:13" x14ac:dyDescent="0.25">
      <c r="A228" s="24"/>
      <c r="B228" s="9"/>
      <c r="C228" s="20">
        <f>IF($B228="","",IFERROR(INDEX(Parc!$B$2:$B$301,MATCH($B228,Parc!$A$2:$A$301,0)),"Réf. inconnue"))</f>
      </c>
      <c r="D228" s="9"/>
      <c r="E228" s="9"/>
      <c r="F228" s="9"/>
      <c r="G228" s="9"/>
      <c r="H228" s="9"/>
      <c r="I228" s="24"/>
      <c r="J228" s="9"/>
      <c r="K228" s="9"/>
      <c r="L228" s="20">
        <f>IF(AND(ISNUMBER($A228),$B228&lt;&gt;"",$D228&lt;&gt;"Examen partiel (ne relance pas)"),IF($A228&lt;=TODAY(),$A228,0),0)</f>
      </c>
      <c r="M228" s="20">
        <f>IF($L228=0,"",$B228&amp;"|"&amp;$L228)</f>
      </c>
    </row>
    <row r="229" spans="1:13" x14ac:dyDescent="0.25">
      <c r="A229" s="24"/>
      <c r="B229" s="9"/>
      <c r="C229" s="20">
        <f>IF($B229="","",IFERROR(INDEX(Parc!$B$2:$B$301,MATCH($B229,Parc!$A$2:$A$301,0)),"Réf. inconnue"))</f>
      </c>
      <c r="D229" s="9"/>
      <c r="E229" s="9"/>
      <c r="F229" s="9"/>
      <c r="G229" s="9"/>
      <c r="H229" s="9"/>
      <c r="I229" s="24"/>
      <c r="J229" s="9"/>
      <c r="K229" s="9"/>
      <c r="L229" s="20">
        <f>IF(AND(ISNUMBER($A229),$B229&lt;&gt;"",$D229&lt;&gt;"Examen partiel (ne relance pas)"),IF($A229&lt;=TODAY(),$A229,0),0)</f>
      </c>
      <c r="M229" s="20">
        <f>IF($L229=0,"",$B229&amp;"|"&amp;$L229)</f>
      </c>
    </row>
    <row r="230" spans="1:13" x14ac:dyDescent="0.25">
      <c r="A230" s="24"/>
      <c r="B230" s="9"/>
      <c r="C230" s="20">
        <f>IF($B230="","",IFERROR(INDEX(Parc!$B$2:$B$301,MATCH($B230,Parc!$A$2:$A$301,0)),"Réf. inconnue"))</f>
      </c>
      <c r="D230" s="9"/>
      <c r="E230" s="9"/>
      <c r="F230" s="9"/>
      <c r="G230" s="9"/>
      <c r="H230" s="9"/>
      <c r="I230" s="24"/>
      <c r="J230" s="9"/>
      <c r="K230" s="9"/>
      <c r="L230" s="20">
        <f>IF(AND(ISNUMBER($A230),$B230&lt;&gt;"",$D230&lt;&gt;"Examen partiel (ne relance pas)"),IF($A230&lt;=TODAY(),$A230,0),0)</f>
      </c>
      <c r="M230" s="20">
        <f>IF($L230=0,"",$B230&amp;"|"&amp;$L230)</f>
      </c>
    </row>
    <row r="231" spans="1:13" x14ac:dyDescent="0.25">
      <c r="A231" s="24"/>
      <c r="B231" s="9"/>
      <c r="C231" s="20">
        <f>IF($B231="","",IFERROR(INDEX(Parc!$B$2:$B$301,MATCH($B231,Parc!$A$2:$A$301,0)),"Réf. inconnue"))</f>
      </c>
      <c r="D231" s="9"/>
      <c r="E231" s="9"/>
      <c r="F231" s="9"/>
      <c r="G231" s="9"/>
      <c r="H231" s="9"/>
      <c r="I231" s="24"/>
      <c r="J231" s="9"/>
      <c r="K231" s="9"/>
      <c r="L231" s="20">
        <f>IF(AND(ISNUMBER($A231),$B231&lt;&gt;"",$D231&lt;&gt;"Examen partiel (ne relance pas)"),IF($A231&lt;=TODAY(),$A231,0),0)</f>
      </c>
      <c r="M231" s="20">
        <f>IF($L231=0,"",$B231&amp;"|"&amp;$L231)</f>
      </c>
    </row>
    <row r="232" spans="1:13" x14ac:dyDescent="0.25">
      <c r="A232" s="24"/>
      <c r="B232" s="9"/>
      <c r="C232" s="20">
        <f>IF($B232="","",IFERROR(INDEX(Parc!$B$2:$B$301,MATCH($B232,Parc!$A$2:$A$301,0)),"Réf. inconnue"))</f>
      </c>
      <c r="D232" s="9"/>
      <c r="E232" s="9"/>
      <c r="F232" s="9"/>
      <c r="G232" s="9"/>
      <c r="H232" s="9"/>
      <c r="I232" s="24"/>
      <c r="J232" s="9"/>
      <c r="K232" s="9"/>
      <c r="L232" s="20">
        <f>IF(AND(ISNUMBER($A232),$B232&lt;&gt;"",$D232&lt;&gt;"Examen partiel (ne relance pas)"),IF($A232&lt;=TODAY(),$A232,0),0)</f>
      </c>
      <c r="M232" s="20">
        <f>IF($L232=0,"",$B232&amp;"|"&amp;$L232)</f>
      </c>
    </row>
    <row r="233" spans="1:13" x14ac:dyDescent="0.25">
      <c r="A233" s="24"/>
      <c r="B233" s="9"/>
      <c r="C233" s="20">
        <f>IF($B233="","",IFERROR(INDEX(Parc!$B$2:$B$301,MATCH($B233,Parc!$A$2:$A$301,0)),"Réf. inconnue"))</f>
      </c>
      <c r="D233" s="9"/>
      <c r="E233" s="9"/>
      <c r="F233" s="9"/>
      <c r="G233" s="9"/>
      <c r="H233" s="9"/>
      <c r="I233" s="24"/>
      <c r="J233" s="9"/>
      <c r="K233" s="9"/>
      <c r="L233" s="20">
        <f>IF(AND(ISNUMBER($A233),$B233&lt;&gt;"",$D233&lt;&gt;"Examen partiel (ne relance pas)"),IF($A233&lt;=TODAY(),$A233,0),0)</f>
      </c>
      <c r="M233" s="20">
        <f>IF($L233=0,"",$B233&amp;"|"&amp;$L233)</f>
      </c>
    </row>
    <row r="234" spans="1:13" x14ac:dyDescent="0.25">
      <c r="A234" s="24"/>
      <c r="B234" s="9"/>
      <c r="C234" s="20">
        <f>IF($B234="","",IFERROR(INDEX(Parc!$B$2:$B$301,MATCH($B234,Parc!$A$2:$A$301,0)),"Réf. inconnue"))</f>
      </c>
      <c r="D234" s="9"/>
      <c r="E234" s="9"/>
      <c r="F234" s="9"/>
      <c r="G234" s="9"/>
      <c r="H234" s="9"/>
      <c r="I234" s="24"/>
      <c r="J234" s="9"/>
      <c r="K234" s="9"/>
      <c r="L234" s="20">
        <f>IF(AND(ISNUMBER($A234),$B234&lt;&gt;"",$D234&lt;&gt;"Examen partiel (ne relance pas)"),IF($A234&lt;=TODAY(),$A234,0),0)</f>
      </c>
      <c r="M234" s="20">
        <f>IF($L234=0,"",$B234&amp;"|"&amp;$L234)</f>
      </c>
    </row>
    <row r="235" spans="1:13" x14ac:dyDescent="0.25">
      <c r="A235" s="24"/>
      <c r="B235" s="9"/>
      <c r="C235" s="20">
        <f>IF($B235="","",IFERROR(INDEX(Parc!$B$2:$B$301,MATCH($B235,Parc!$A$2:$A$301,0)),"Réf. inconnue"))</f>
      </c>
      <c r="D235" s="9"/>
      <c r="E235" s="9"/>
      <c r="F235" s="9"/>
      <c r="G235" s="9"/>
      <c r="H235" s="9"/>
      <c r="I235" s="24"/>
      <c r="J235" s="9"/>
      <c r="K235" s="9"/>
      <c r="L235" s="20">
        <f>IF(AND(ISNUMBER($A235),$B235&lt;&gt;"",$D235&lt;&gt;"Examen partiel (ne relance pas)"),IF($A235&lt;=TODAY(),$A235,0),0)</f>
      </c>
      <c r="M235" s="20">
        <f>IF($L235=0,"",$B235&amp;"|"&amp;$L235)</f>
      </c>
    </row>
    <row r="236" spans="1:13" x14ac:dyDescent="0.25">
      <c r="A236" s="24"/>
      <c r="B236" s="9"/>
      <c r="C236" s="20">
        <f>IF($B236="","",IFERROR(INDEX(Parc!$B$2:$B$301,MATCH($B236,Parc!$A$2:$A$301,0)),"Réf. inconnue"))</f>
      </c>
      <c r="D236" s="9"/>
      <c r="E236" s="9"/>
      <c r="F236" s="9"/>
      <c r="G236" s="9"/>
      <c r="H236" s="9"/>
      <c r="I236" s="24"/>
      <c r="J236" s="9"/>
      <c r="K236" s="9"/>
      <c r="L236" s="20">
        <f>IF(AND(ISNUMBER($A236),$B236&lt;&gt;"",$D236&lt;&gt;"Examen partiel (ne relance pas)"),IF($A236&lt;=TODAY(),$A236,0),0)</f>
      </c>
      <c r="M236" s="20">
        <f>IF($L236=0,"",$B236&amp;"|"&amp;$L236)</f>
      </c>
    </row>
    <row r="237" spans="1:13" x14ac:dyDescent="0.25">
      <c r="A237" s="24"/>
      <c r="B237" s="9"/>
      <c r="C237" s="20">
        <f>IF($B237="","",IFERROR(INDEX(Parc!$B$2:$B$301,MATCH($B237,Parc!$A$2:$A$301,0)),"Réf. inconnue"))</f>
      </c>
      <c r="D237" s="9"/>
      <c r="E237" s="9"/>
      <c r="F237" s="9"/>
      <c r="G237" s="9"/>
      <c r="H237" s="9"/>
      <c r="I237" s="24"/>
      <c r="J237" s="9"/>
      <c r="K237" s="9"/>
      <c r="L237" s="20">
        <f>IF(AND(ISNUMBER($A237),$B237&lt;&gt;"",$D237&lt;&gt;"Examen partiel (ne relance pas)"),IF($A237&lt;=TODAY(),$A237,0),0)</f>
      </c>
      <c r="M237" s="20">
        <f>IF($L237=0,"",$B237&amp;"|"&amp;$L237)</f>
      </c>
    </row>
    <row r="238" spans="1:13" x14ac:dyDescent="0.25">
      <c r="A238" s="24"/>
      <c r="B238" s="9"/>
      <c r="C238" s="20">
        <f>IF($B238="","",IFERROR(INDEX(Parc!$B$2:$B$301,MATCH($B238,Parc!$A$2:$A$301,0)),"Réf. inconnue"))</f>
      </c>
      <c r="D238" s="9"/>
      <c r="E238" s="9"/>
      <c r="F238" s="9"/>
      <c r="G238" s="9"/>
      <c r="H238" s="9"/>
      <c r="I238" s="24"/>
      <c r="J238" s="9"/>
      <c r="K238" s="9"/>
      <c r="L238" s="20">
        <f>IF(AND(ISNUMBER($A238),$B238&lt;&gt;"",$D238&lt;&gt;"Examen partiel (ne relance pas)"),IF($A238&lt;=TODAY(),$A238,0),0)</f>
      </c>
      <c r="M238" s="20">
        <f>IF($L238=0,"",$B238&amp;"|"&amp;$L238)</f>
      </c>
    </row>
    <row r="239" spans="1:13" x14ac:dyDescent="0.25">
      <c r="A239" s="24"/>
      <c r="B239" s="9"/>
      <c r="C239" s="20">
        <f>IF($B239="","",IFERROR(INDEX(Parc!$B$2:$B$301,MATCH($B239,Parc!$A$2:$A$301,0)),"Réf. inconnue"))</f>
      </c>
      <c r="D239" s="9"/>
      <c r="E239" s="9"/>
      <c r="F239" s="9"/>
      <c r="G239" s="9"/>
      <c r="H239" s="9"/>
      <c r="I239" s="24"/>
      <c r="J239" s="9"/>
      <c r="K239" s="9"/>
      <c r="L239" s="20">
        <f>IF(AND(ISNUMBER($A239),$B239&lt;&gt;"",$D239&lt;&gt;"Examen partiel (ne relance pas)"),IF($A239&lt;=TODAY(),$A239,0),0)</f>
      </c>
      <c r="M239" s="20">
        <f>IF($L239=0,"",$B239&amp;"|"&amp;$L239)</f>
      </c>
    </row>
    <row r="240" spans="1:13" x14ac:dyDescent="0.25">
      <c r="A240" s="24"/>
      <c r="B240" s="9"/>
      <c r="C240" s="20">
        <f>IF($B240="","",IFERROR(INDEX(Parc!$B$2:$B$301,MATCH($B240,Parc!$A$2:$A$301,0)),"Réf. inconnue"))</f>
      </c>
      <c r="D240" s="9"/>
      <c r="E240" s="9"/>
      <c r="F240" s="9"/>
      <c r="G240" s="9"/>
      <c r="H240" s="9"/>
      <c r="I240" s="24"/>
      <c r="J240" s="9"/>
      <c r="K240" s="9"/>
      <c r="L240" s="20">
        <f>IF(AND(ISNUMBER($A240),$B240&lt;&gt;"",$D240&lt;&gt;"Examen partiel (ne relance pas)"),IF($A240&lt;=TODAY(),$A240,0),0)</f>
      </c>
      <c r="M240" s="20">
        <f>IF($L240=0,"",$B240&amp;"|"&amp;$L240)</f>
      </c>
    </row>
    <row r="241" spans="1:13" x14ac:dyDescent="0.25">
      <c r="A241" s="24"/>
      <c r="B241" s="9"/>
      <c r="C241" s="20">
        <f>IF($B241="","",IFERROR(INDEX(Parc!$B$2:$B$301,MATCH($B241,Parc!$A$2:$A$301,0)),"Réf. inconnue"))</f>
      </c>
      <c r="D241" s="9"/>
      <c r="E241" s="9"/>
      <c r="F241" s="9"/>
      <c r="G241" s="9"/>
      <c r="H241" s="9"/>
      <c r="I241" s="24"/>
      <c r="J241" s="9"/>
      <c r="K241" s="9"/>
      <c r="L241" s="20">
        <f>IF(AND(ISNUMBER($A241),$B241&lt;&gt;"",$D241&lt;&gt;"Examen partiel (ne relance pas)"),IF($A241&lt;=TODAY(),$A241,0),0)</f>
      </c>
      <c r="M241" s="20">
        <f>IF($L241=0,"",$B241&amp;"|"&amp;$L241)</f>
      </c>
    </row>
    <row r="242" spans="1:13" x14ac:dyDescent="0.25">
      <c r="A242" s="24"/>
      <c r="B242" s="9"/>
      <c r="C242" s="20">
        <f>IF($B242="","",IFERROR(INDEX(Parc!$B$2:$B$301,MATCH($B242,Parc!$A$2:$A$301,0)),"Réf. inconnue"))</f>
      </c>
      <c r="D242" s="9"/>
      <c r="E242" s="9"/>
      <c r="F242" s="9"/>
      <c r="G242" s="9"/>
      <c r="H242" s="9"/>
      <c r="I242" s="24"/>
      <c r="J242" s="9"/>
      <c r="K242" s="9"/>
      <c r="L242" s="20">
        <f>IF(AND(ISNUMBER($A242),$B242&lt;&gt;"",$D242&lt;&gt;"Examen partiel (ne relance pas)"),IF($A242&lt;=TODAY(),$A242,0),0)</f>
      </c>
      <c r="M242" s="20">
        <f>IF($L242=0,"",$B242&amp;"|"&amp;$L242)</f>
      </c>
    </row>
    <row r="243" spans="1:13" x14ac:dyDescent="0.25">
      <c r="A243" s="24"/>
      <c r="B243" s="9"/>
      <c r="C243" s="20">
        <f>IF($B243="","",IFERROR(INDEX(Parc!$B$2:$B$301,MATCH($B243,Parc!$A$2:$A$301,0)),"Réf. inconnue"))</f>
      </c>
      <c r="D243" s="9"/>
      <c r="E243" s="9"/>
      <c r="F243" s="9"/>
      <c r="G243" s="9"/>
      <c r="H243" s="9"/>
      <c r="I243" s="24"/>
      <c r="J243" s="9"/>
      <c r="K243" s="9"/>
      <c r="L243" s="20">
        <f>IF(AND(ISNUMBER($A243),$B243&lt;&gt;"",$D243&lt;&gt;"Examen partiel (ne relance pas)"),IF($A243&lt;=TODAY(),$A243,0),0)</f>
      </c>
      <c r="M243" s="20">
        <f>IF($L243=0,"",$B243&amp;"|"&amp;$L243)</f>
      </c>
    </row>
    <row r="244" spans="1:13" x14ac:dyDescent="0.25">
      <c r="A244" s="24"/>
      <c r="B244" s="9"/>
      <c r="C244" s="20">
        <f>IF($B244="","",IFERROR(INDEX(Parc!$B$2:$B$301,MATCH($B244,Parc!$A$2:$A$301,0)),"Réf. inconnue"))</f>
      </c>
      <c r="D244" s="9"/>
      <c r="E244" s="9"/>
      <c r="F244" s="9"/>
      <c r="G244" s="9"/>
      <c r="H244" s="9"/>
      <c r="I244" s="24"/>
      <c r="J244" s="9"/>
      <c r="K244" s="9"/>
      <c r="L244" s="20">
        <f>IF(AND(ISNUMBER($A244),$B244&lt;&gt;"",$D244&lt;&gt;"Examen partiel (ne relance pas)"),IF($A244&lt;=TODAY(),$A244,0),0)</f>
      </c>
      <c r="M244" s="20">
        <f>IF($L244=0,"",$B244&amp;"|"&amp;$L244)</f>
      </c>
    </row>
    <row r="245" spans="1:13" x14ac:dyDescent="0.25">
      <c r="A245" s="24"/>
      <c r="B245" s="9"/>
      <c r="C245" s="20">
        <f>IF($B245="","",IFERROR(INDEX(Parc!$B$2:$B$301,MATCH($B245,Parc!$A$2:$A$301,0)),"Réf. inconnue"))</f>
      </c>
      <c r="D245" s="9"/>
      <c r="E245" s="9"/>
      <c r="F245" s="9"/>
      <c r="G245" s="9"/>
      <c r="H245" s="9"/>
      <c r="I245" s="24"/>
      <c r="J245" s="9"/>
      <c r="K245" s="9"/>
      <c r="L245" s="20">
        <f>IF(AND(ISNUMBER($A245),$B245&lt;&gt;"",$D245&lt;&gt;"Examen partiel (ne relance pas)"),IF($A245&lt;=TODAY(),$A245,0),0)</f>
      </c>
      <c r="M245" s="20">
        <f>IF($L245=0,"",$B245&amp;"|"&amp;$L245)</f>
      </c>
    </row>
    <row r="246" spans="1:13" x14ac:dyDescent="0.25">
      <c r="A246" s="24"/>
      <c r="B246" s="9"/>
      <c r="C246" s="20">
        <f>IF($B246="","",IFERROR(INDEX(Parc!$B$2:$B$301,MATCH($B246,Parc!$A$2:$A$301,0)),"Réf. inconnue"))</f>
      </c>
      <c r="D246" s="9"/>
      <c r="E246" s="9"/>
      <c r="F246" s="9"/>
      <c r="G246" s="9"/>
      <c r="H246" s="9"/>
      <c r="I246" s="24"/>
      <c r="J246" s="9"/>
      <c r="K246" s="9"/>
      <c r="L246" s="20">
        <f>IF(AND(ISNUMBER($A246),$B246&lt;&gt;"",$D246&lt;&gt;"Examen partiel (ne relance pas)"),IF($A246&lt;=TODAY(),$A246,0),0)</f>
      </c>
      <c r="M246" s="20">
        <f>IF($L246=0,"",$B246&amp;"|"&amp;$L246)</f>
      </c>
    </row>
    <row r="247" spans="1:13" x14ac:dyDescent="0.25">
      <c r="A247" s="24"/>
      <c r="B247" s="9"/>
      <c r="C247" s="20">
        <f>IF($B247="","",IFERROR(INDEX(Parc!$B$2:$B$301,MATCH($B247,Parc!$A$2:$A$301,0)),"Réf. inconnue"))</f>
      </c>
      <c r="D247" s="9"/>
      <c r="E247" s="9"/>
      <c r="F247" s="9"/>
      <c r="G247" s="9"/>
      <c r="H247" s="9"/>
      <c r="I247" s="24"/>
      <c r="J247" s="9"/>
      <c r="K247" s="9"/>
      <c r="L247" s="20">
        <f>IF(AND(ISNUMBER($A247),$B247&lt;&gt;"",$D247&lt;&gt;"Examen partiel (ne relance pas)"),IF($A247&lt;=TODAY(),$A247,0),0)</f>
      </c>
      <c r="M247" s="20">
        <f>IF($L247=0,"",$B247&amp;"|"&amp;$L247)</f>
      </c>
    </row>
    <row r="248" spans="1:13" x14ac:dyDescent="0.25">
      <c r="A248" s="24"/>
      <c r="B248" s="9"/>
      <c r="C248" s="20">
        <f>IF($B248="","",IFERROR(INDEX(Parc!$B$2:$B$301,MATCH($B248,Parc!$A$2:$A$301,0)),"Réf. inconnue"))</f>
      </c>
      <c r="D248" s="9"/>
      <c r="E248" s="9"/>
      <c r="F248" s="9"/>
      <c r="G248" s="9"/>
      <c r="H248" s="9"/>
      <c r="I248" s="24"/>
      <c r="J248" s="9"/>
      <c r="K248" s="9"/>
      <c r="L248" s="20">
        <f>IF(AND(ISNUMBER($A248),$B248&lt;&gt;"",$D248&lt;&gt;"Examen partiel (ne relance pas)"),IF($A248&lt;=TODAY(),$A248,0),0)</f>
      </c>
      <c r="M248" s="20">
        <f>IF($L248=0,"",$B248&amp;"|"&amp;$L248)</f>
      </c>
    </row>
    <row r="249" spans="1:13" x14ac:dyDescent="0.25">
      <c r="A249" s="24"/>
      <c r="B249" s="9"/>
      <c r="C249" s="20">
        <f>IF($B249="","",IFERROR(INDEX(Parc!$B$2:$B$301,MATCH($B249,Parc!$A$2:$A$301,0)),"Réf. inconnue"))</f>
      </c>
      <c r="D249" s="9"/>
      <c r="E249" s="9"/>
      <c r="F249" s="9"/>
      <c r="G249" s="9"/>
      <c r="H249" s="9"/>
      <c r="I249" s="24"/>
      <c r="J249" s="9"/>
      <c r="K249" s="9"/>
      <c r="L249" s="20">
        <f>IF(AND(ISNUMBER($A249),$B249&lt;&gt;"",$D249&lt;&gt;"Examen partiel (ne relance pas)"),IF($A249&lt;=TODAY(),$A249,0),0)</f>
      </c>
      <c r="M249" s="20">
        <f>IF($L249=0,"",$B249&amp;"|"&amp;$L249)</f>
      </c>
    </row>
    <row r="250" spans="1:13" x14ac:dyDescent="0.25">
      <c r="A250" s="24"/>
      <c r="B250" s="9"/>
      <c r="C250" s="20">
        <f>IF($B250="","",IFERROR(INDEX(Parc!$B$2:$B$301,MATCH($B250,Parc!$A$2:$A$301,0)),"Réf. inconnue"))</f>
      </c>
      <c r="D250" s="9"/>
      <c r="E250" s="9"/>
      <c r="F250" s="9"/>
      <c r="G250" s="9"/>
      <c r="H250" s="9"/>
      <c r="I250" s="24"/>
      <c r="J250" s="9"/>
      <c r="K250" s="9"/>
      <c r="L250" s="20">
        <f>IF(AND(ISNUMBER($A250),$B250&lt;&gt;"",$D250&lt;&gt;"Examen partiel (ne relance pas)"),IF($A250&lt;=TODAY(),$A250,0),0)</f>
      </c>
      <c r="M250" s="20">
        <f>IF($L250=0,"",$B250&amp;"|"&amp;$L250)</f>
      </c>
    </row>
    <row r="251" spans="1:13" x14ac:dyDescent="0.25">
      <c r="A251" s="24"/>
      <c r="B251" s="9"/>
      <c r="C251" s="20">
        <f>IF($B251="","",IFERROR(INDEX(Parc!$B$2:$B$301,MATCH($B251,Parc!$A$2:$A$301,0)),"Réf. inconnue"))</f>
      </c>
      <c r="D251" s="9"/>
      <c r="E251" s="9"/>
      <c r="F251" s="9"/>
      <c r="G251" s="9"/>
      <c r="H251" s="9"/>
      <c r="I251" s="24"/>
      <c r="J251" s="9"/>
      <c r="K251" s="9"/>
      <c r="L251" s="20">
        <f>IF(AND(ISNUMBER($A251),$B251&lt;&gt;"",$D251&lt;&gt;"Examen partiel (ne relance pas)"),IF($A251&lt;=TODAY(),$A251,0),0)</f>
      </c>
      <c r="M251" s="20">
        <f>IF($L251=0,"",$B251&amp;"|"&amp;$L251)</f>
      </c>
    </row>
    <row r="252" spans="1:13" x14ac:dyDescent="0.25">
      <c r="A252" s="24"/>
      <c r="B252" s="9"/>
      <c r="C252" s="20">
        <f>IF($B252="","",IFERROR(INDEX(Parc!$B$2:$B$301,MATCH($B252,Parc!$A$2:$A$301,0)),"Réf. inconnue"))</f>
      </c>
      <c r="D252" s="9"/>
      <c r="E252" s="9"/>
      <c r="F252" s="9"/>
      <c r="G252" s="9"/>
      <c r="H252" s="9"/>
      <c r="I252" s="24"/>
      <c r="J252" s="9"/>
      <c r="K252" s="9"/>
      <c r="L252" s="20">
        <f>IF(AND(ISNUMBER($A252),$B252&lt;&gt;"",$D252&lt;&gt;"Examen partiel (ne relance pas)"),IF($A252&lt;=TODAY(),$A252,0),0)</f>
      </c>
      <c r="M252" s="20">
        <f>IF($L252=0,"",$B252&amp;"|"&amp;$L252)</f>
      </c>
    </row>
    <row r="253" spans="1:13" x14ac:dyDescent="0.25">
      <c r="A253" s="24"/>
      <c r="B253" s="9"/>
      <c r="C253" s="20">
        <f>IF($B253="","",IFERROR(INDEX(Parc!$B$2:$B$301,MATCH($B253,Parc!$A$2:$A$301,0)),"Réf. inconnue"))</f>
      </c>
      <c r="D253" s="9"/>
      <c r="E253" s="9"/>
      <c r="F253" s="9"/>
      <c r="G253" s="9"/>
      <c r="H253" s="9"/>
      <c r="I253" s="24"/>
      <c r="J253" s="9"/>
      <c r="K253" s="9"/>
      <c r="L253" s="20">
        <f>IF(AND(ISNUMBER($A253),$B253&lt;&gt;"",$D253&lt;&gt;"Examen partiel (ne relance pas)"),IF($A253&lt;=TODAY(),$A253,0),0)</f>
      </c>
      <c r="M253" s="20">
        <f>IF($L253=0,"",$B253&amp;"|"&amp;$L253)</f>
      </c>
    </row>
    <row r="254" spans="1:13" x14ac:dyDescent="0.25">
      <c r="A254" s="24"/>
      <c r="B254" s="9"/>
      <c r="C254" s="20">
        <f>IF($B254="","",IFERROR(INDEX(Parc!$B$2:$B$301,MATCH($B254,Parc!$A$2:$A$301,0)),"Réf. inconnue"))</f>
      </c>
      <c r="D254" s="9"/>
      <c r="E254" s="9"/>
      <c r="F254" s="9"/>
      <c r="G254" s="9"/>
      <c r="H254" s="9"/>
      <c r="I254" s="24"/>
      <c r="J254" s="9"/>
      <c r="K254" s="9"/>
      <c r="L254" s="20">
        <f>IF(AND(ISNUMBER($A254),$B254&lt;&gt;"",$D254&lt;&gt;"Examen partiel (ne relance pas)"),IF($A254&lt;=TODAY(),$A254,0),0)</f>
      </c>
      <c r="M254" s="20">
        <f>IF($L254=0,"",$B254&amp;"|"&amp;$L254)</f>
      </c>
    </row>
    <row r="255" spans="1:13" x14ac:dyDescent="0.25">
      <c r="A255" s="24"/>
      <c r="B255" s="9"/>
      <c r="C255" s="20">
        <f>IF($B255="","",IFERROR(INDEX(Parc!$B$2:$B$301,MATCH($B255,Parc!$A$2:$A$301,0)),"Réf. inconnue"))</f>
      </c>
      <c r="D255" s="9"/>
      <c r="E255" s="9"/>
      <c r="F255" s="9"/>
      <c r="G255" s="9"/>
      <c r="H255" s="9"/>
      <c r="I255" s="24"/>
      <c r="J255" s="9"/>
      <c r="K255" s="9"/>
      <c r="L255" s="20">
        <f>IF(AND(ISNUMBER($A255),$B255&lt;&gt;"",$D255&lt;&gt;"Examen partiel (ne relance pas)"),IF($A255&lt;=TODAY(),$A255,0),0)</f>
      </c>
      <c r="M255" s="20">
        <f>IF($L255=0,"",$B255&amp;"|"&amp;$L255)</f>
      </c>
    </row>
    <row r="256" spans="1:13" x14ac:dyDescent="0.25">
      <c r="A256" s="24"/>
      <c r="B256" s="9"/>
      <c r="C256" s="20">
        <f>IF($B256="","",IFERROR(INDEX(Parc!$B$2:$B$301,MATCH($B256,Parc!$A$2:$A$301,0)),"Réf. inconnue"))</f>
      </c>
      <c r="D256" s="9"/>
      <c r="E256" s="9"/>
      <c r="F256" s="9"/>
      <c r="G256" s="9"/>
      <c r="H256" s="9"/>
      <c r="I256" s="24"/>
      <c r="J256" s="9"/>
      <c r="K256" s="9"/>
      <c r="L256" s="20">
        <f>IF(AND(ISNUMBER($A256),$B256&lt;&gt;"",$D256&lt;&gt;"Examen partiel (ne relance pas)"),IF($A256&lt;=TODAY(),$A256,0),0)</f>
      </c>
      <c r="M256" s="20">
        <f>IF($L256=0,"",$B256&amp;"|"&amp;$L256)</f>
      </c>
    </row>
    <row r="257" spans="1:13" x14ac:dyDescent="0.25">
      <c r="A257" s="24"/>
      <c r="B257" s="9"/>
      <c r="C257" s="20">
        <f>IF($B257="","",IFERROR(INDEX(Parc!$B$2:$B$301,MATCH($B257,Parc!$A$2:$A$301,0)),"Réf. inconnue"))</f>
      </c>
      <c r="D257" s="9"/>
      <c r="E257" s="9"/>
      <c r="F257" s="9"/>
      <c r="G257" s="9"/>
      <c r="H257" s="9"/>
      <c r="I257" s="24"/>
      <c r="J257" s="9"/>
      <c r="K257" s="9"/>
      <c r="L257" s="20">
        <f>IF(AND(ISNUMBER($A257),$B257&lt;&gt;"",$D257&lt;&gt;"Examen partiel (ne relance pas)"),IF($A257&lt;=TODAY(),$A257,0),0)</f>
      </c>
      <c r="M257" s="20">
        <f>IF($L257=0,"",$B257&amp;"|"&amp;$L257)</f>
      </c>
    </row>
    <row r="258" spans="1:13" x14ac:dyDescent="0.25">
      <c r="A258" s="24"/>
      <c r="B258" s="9"/>
      <c r="C258" s="20">
        <f>IF($B258="","",IFERROR(INDEX(Parc!$B$2:$B$301,MATCH($B258,Parc!$A$2:$A$301,0)),"Réf. inconnue"))</f>
      </c>
      <c r="D258" s="9"/>
      <c r="E258" s="9"/>
      <c r="F258" s="9"/>
      <c r="G258" s="9"/>
      <c r="H258" s="9"/>
      <c r="I258" s="24"/>
      <c r="J258" s="9"/>
      <c r="K258" s="9"/>
      <c r="L258" s="20">
        <f>IF(AND(ISNUMBER($A258),$B258&lt;&gt;"",$D258&lt;&gt;"Examen partiel (ne relance pas)"),IF($A258&lt;=TODAY(),$A258,0),0)</f>
      </c>
      <c r="M258" s="20">
        <f>IF($L258=0,"",$B258&amp;"|"&amp;$L258)</f>
      </c>
    </row>
    <row r="259" spans="1:13" x14ac:dyDescent="0.25">
      <c r="A259" s="24"/>
      <c r="B259" s="9"/>
      <c r="C259" s="20">
        <f>IF($B259="","",IFERROR(INDEX(Parc!$B$2:$B$301,MATCH($B259,Parc!$A$2:$A$301,0)),"Réf. inconnue"))</f>
      </c>
      <c r="D259" s="9"/>
      <c r="E259" s="9"/>
      <c r="F259" s="9"/>
      <c r="G259" s="9"/>
      <c r="H259" s="9"/>
      <c r="I259" s="24"/>
      <c r="J259" s="9"/>
      <c r="K259" s="9"/>
      <c r="L259" s="20">
        <f>IF(AND(ISNUMBER($A259),$B259&lt;&gt;"",$D259&lt;&gt;"Examen partiel (ne relance pas)"),IF($A259&lt;=TODAY(),$A259,0),0)</f>
      </c>
      <c r="M259" s="20">
        <f>IF($L259=0,"",$B259&amp;"|"&amp;$L259)</f>
      </c>
    </row>
    <row r="260" spans="1:13" x14ac:dyDescent="0.25">
      <c r="A260" s="24"/>
      <c r="B260" s="9"/>
      <c r="C260" s="20">
        <f>IF($B260="","",IFERROR(INDEX(Parc!$B$2:$B$301,MATCH($B260,Parc!$A$2:$A$301,0)),"Réf. inconnue"))</f>
      </c>
      <c r="D260" s="9"/>
      <c r="E260" s="9"/>
      <c r="F260" s="9"/>
      <c r="G260" s="9"/>
      <c r="H260" s="9"/>
      <c r="I260" s="24"/>
      <c r="J260" s="9"/>
      <c r="K260" s="9"/>
      <c r="L260" s="20">
        <f>IF(AND(ISNUMBER($A260),$B260&lt;&gt;"",$D260&lt;&gt;"Examen partiel (ne relance pas)"),IF($A260&lt;=TODAY(),$A260,0),0)</f>
      </c>
      <c r="M260" s="20">
        <f>IF($L260=0,"",$B260&amp;"|"&amp;$L260)</f>
      </c>
    </row>
    <row r="261" spans="1:13" x14ac:dyDescent="0.25">
      <c r="A261" s="24"/>
      <c r="B261" s="9"/>
      <c r="C261" s="20">
        <f>IF($B261="","",IFERROR(INDEX(Parc!$B$2:$B$301,MATCH($B261,Parc!$A$2:$A$301,0)),"Réf. inconnue"))</f>
      </c>
      <c r="D261" s="9"/>
      <c r="E261" s="9"/>
      <c r="F261" s="9"/>
      <c r="G261" s="9"/>
      <c r="H261" s="9"/>
      <c r="I261" s="24"/>
      <c r="J261" s="9"/>
      <c r="K261" s="9"/>
      <c r="L261" s="20">
        <f>IF(AND(ISNUMBER($A261),$B261&lt;&gt;"",$D261&lt;&gt;"Examen partiel (ne relance pas)"),IF($A261&lt;=TODAY(),$A261,0),0)</f>
      </c>
      <c r="M261" s="20">
        <f>IF($L261=0,"",$B261&amp;"|"&amp;$L261)</f>
      </c>
    </row>
    <row r="262" spans="1:13" x14ac:dyDescent="0.25">
      <c r="A262" s="24"/>
      <c r="B262" s="9"/>
      <c r="C262" s="20">
        <f>IF($B262="","",IFERROR(INDEX(Parc!$B$2:$B$301,MATCH($B262,Parc!$A$2:$A$301,0)),"Réf. inconnue"))</f>
      </c>
      <c r="D262" s="9"/>
      <c r="E262" s="9"/>
      <c r="F262" s="9"/>
      <c r="G262" s="9"/>
      <c r="H262" s="9"/>
      <c r="I262" s="24"/>
      <c r="J262" s="9"/>
      <c r="K262" s="9"/>
      <c r="L262" s="20">
        <f>IF(AND(ISNUMBER($A262),$B262&lt;&gt;"",$D262&lt;&gt;"Examen partiel (ne relance pas)"),IF($A262&lt;=TODAY(),$A262,0),0)</f>
      </c>
      <c r="M262" s="20">
        <f>IF($L262=0,"",$B262&amp;"|"&amp;$L262)</f>
      </c>
    </row>
    <row r="263" spans="1:13" x14ac:dyDescent="0.25">
      <c r="A263" s="24"/>
      <c r="B263" s="9"/>
      <c r="C263" s="20">
        <f>IF($B263="","",IFERROR(INDEX(Parc!$B$2:$B$301,MATCH($B263,Parc!$A$2:$A$301,0)),"Réf. inconnue"))</f>
      </c>
      <c r="D263" s="9"/>
      <c r="E263" s="9"/>
      <c r="F263" s="9"/>
      <c r="G263" s="9"/>
      <c r="H263" s="9"/>
      <c r="I263" s="24"/>
      <c r="J263" s="9"/>
      <c r="K263" s="9"/>
      <c r="L263" s="20">
        <f>IF(AND(ISNUMBER($A263),$B263&lt;&gt;"",$D263&lt;&gt;"Examen partiel (ne relance pas)"),IF($A263&lt;=TODAY(),$A263,0),0)</f>
      </c>
      <c r="M263" s="20">
        <f>IF($L263=0,"",$B263&amp;"|"&amp;$L263)</f>
      </c>
    </row>
    <row r="264" spans="1:13" x14ac:dyDescent="0.25">
      <c r="A264" s="24"/>
      <c r="B264" s="9"/>
      <c r="C264" s="20">
        <f>IF($B264="","",IFERROR(INDEX(Parc!$B$2:$B$301,MATCH($B264,Parc!$A$2:$A$301,0)),"Réf. inconnue"))</f>
      </c>
      <c r="D264" s="9"/>
      <c r="E264" s="9"/>
      <c r="F264" s="9"/>
      <c r="G264" s="9"/>
      <c r="H264" s="9"/>
      <c r="I264" s="24"/>
      <c r="J264" s="9"/>
      <c r="K264" s="9"/>
      <c r="L264" s="20">
        <f>IF(AND(ISNUMBER($A264),$B264&lt;&gt;"",$D264&lt;&gt;"Examen partiel (ne relance pas)"),IF($A264&lt;=TODAY(),$A264,0),0)</f>
      </c>
      <c r="M264" s="20">
        <f>IF($L264=0,"",$B264&amp;"|"&amp;$L264)</f>
      </c>
    </row>
    <row r="265" spans="1:13" x14ac:dyDescent="0.25">
      <c r="A265" s="24"/>
      <c r="B265" s="9"/>
      <c r="C265" s="20">
        <f>IF($B265="","",IFERROR(INDEX(Parc!$B$2:$B$301,MATCH($B265,Parc!$A$2:$A$301,0)),"Réf. inconnue"))</f>
      </c>
      <c r="D265" s="9"/>
      <c r="E265" s="9"/>
      <c r="F265" s="9"/>
      <c r="G265" s="9"/>
      <c r="H265" s="9"/>
      <c r="I265" s="24"/>
      <c r="J265" s="9"/>
      <c r="K265" s="9"/>
      <c r="L265" s="20">
        <f>IF(AND(ISNUMBER($A265),$B265&lt;&gt;"",$D265&lt;&gt;"Examen partiel (ne relance pas)"),IF($A265&lt;=TODAY(),$A265,0),0)</f>
      </c>
      <c r="M265" s="20">
        <f>IF($L265=0,"",$B265&amp;"|"&amp;$L265)</f>
      </c>
    </row>
    <row r="266" spans="1:13" x14ac:dyDescent="0.25">
      <c r="A266" s="24"/>
      <c r="B266" s="9"/>
      <c r="C266" s="20">
        <f>IF($B266="","",IFERROR(INDEX(Parc!$B$2:$B$301,MATCH($B266,Parc!$A$2:$A$301,0)),"Réf. inconnue"))</f>
      </c>
      <c r="D266" s="9"/>
      <c r="E266" s="9"/>
      <c r="F266" s="9"/>
      <c r="G266" s="9"/>
      <c r="H266" s="9"/>
      <c r="I266" s="24"/>
      <c r="J266" s="9"/>
      <c r="K266" s="9"/>
      <c r="L266" s="20">
        <f>IF(AND(ISNUMBER($A266),$B266&lt;&gt;"",$D266&lt;&gt;"Examen partiel (ne relance pas)"),IF($A266&lt;=TODAY(),$A266,0),0)</f>
      </c>
      <c r="M266" s="20">
        <f>IF($L266=0,"",$B266&amp;"|"&amp;$L266)</f>
      </c>
    </row>
    <row r="267" spans="1:13" x14ac:dyDescent="0.25">
      <c r="A267" s="24"/>
      <c r="B267" s="9"/>
      <c r="C267" s="20">
        <f>IF($B267="","",IFERROR(INDEX(Parc!$B$2:$B$301,MATCH($B267,Parc!$A$2:$A$301,0)),"Réf. inconnue"))</f>
      </c>
      <c r="D267" s="9"/>
      <c r="E267" s="9"/>
      <c r="F267" s="9"/>
      <c r="G267" s="9"/>
      <c r="H267" s="9"/>
      <c r="I267" s="24"/>
      <c r="J267" s="9"/>
      <c r="K267" s="9"/>
      <c r="L267" s="20">
        <f>IF(AND(ISNUMBER($A267),$B267&lt;&gt;"",$D267&lt;&gt;"Examen partiel (ne relance pas)"),IF($A267&lt;=TODAY(),$A267,0),0)</f>
      </c>
      <c r="M267" s="20">
        <f>IF($L267=0,"",$B267&amp;"|"&amp;$L267)</f>
      </c>
    </row>
    <row r="268" spans="1:13" x14ac:dyDescent="0.25">
      <c r="A268" s="24"/>
      <c r="B268" s="9"/>
      <c r="C268" s="20">
        <f>IF($B268="","",IFERROR(INDEX(Parc!$B$2:$B$301,MATCH($B268,Parc!$A$2:$A$301,0)),"Réf. inconnue"))</f>
      </c>
      <c r="D268" s="9"/>
      <c r="E268" s="9"/>
      <c r="F268" s="9"/>
      <c r="G268" s="9"/>
      <c r="H268" s="9"/>
      <c r="I268" s="24"/>
      <c r="J268" s="9"/>
      <c r="K268" s="9"/>
      <c r="L268" s="20">
        <f>IF(AND(ISNUMBER($A268),$B268&lt;&gt;"",$D268&lt;&gt;"Examen partiel (ne relance pas)"),IF($A268&lt;=TODAY(),$A268,0),0)</f>
      </c>
      <c r="M268" s="20">
        <f>IF($L268=0,"",$B268&amp;"|"&amp;$L268)</f>
      </c>
    </row>
    <row r="269" spans="1:13" x14ac:dyDescent="0.25">
      <c r="A269" s="24"/>
      <c r="B269" s="9"/>
      <c r="C269" s="20">
        <f>IF($B269="","",IFERROR(INDEX(Parc!$B$2:$B$301,MATCH($B269,Parc!$A$2:$A$301,0)),"Réf. inconnue"))</f>
      </c>
      <c r="D269" s="9"/>
      <c r="E269" s="9"/>
      <c r="F269" s="9"/>
      <c r="G269" s="9"/>
      <c r="H269" s="9"/>
      <c r="I269" s="24"/>
      <c r="J269" s="9"/>
      <c r="K269" s="9"/>
      <c r="L269" s="20">
        <f>IF(AND(ISNUMBER($A269),$B269&lt;&gt;"",$D269&lt;&gt;"Examen partiel (ne relance pas)"),IF($A269&lt;=TODAY(),$A269,0),0)</f>
      </c>
      <c r="M269" s="20">
        <f>IF($L269=0,"",$B269&amp;"|"&amp;$L269)</f>
      </c>
    </row>
    <row r="270" spans="1:13" x14ac:dyDescent="0.25">
      <c r="A270" s="24"/>
      <c r="B270" s="9"/>
      <c r="C270" s="20">
        <f>IF($B270="","",IFERROR(INDEX(Parc!$B$2:$B$301,MATCH($B270,Parc!$A$2:$A$301,0)),"Réf. inconnue"))</f>
      </c>
      <c r="D270" s="9"/>
      <c r="E270" s="9"/>
      <c r="F270" s="9"/>
      <c r="G270" s="9"/>
      <c r="H270" s="9"/>
      <c r="I270" s="24"/>
      <c r="J270" s="9"/>
      <c r="K270" s="9"/>
      <c r="L270" s="20">
        <f>IF(AND(ISNUMBER($A270),$B270&lt;&gt;"",$D270&lt;&gt;"Examen partiel (ne relance pas)"),IF($A270&lt;=TODAY(),$A270,0),0)</f>
      </c>
      <c r="M270" s="20">
        <f>IF($L270=0,"",$B270&amp;"|"&amp;$L270)</f>
      </c>
    </row>
    <row r="271" spans="1:13" x14ac:dyDescent="0.25">
      <c r="A271" s="24"/>
      <c r="B271" s="9"/>
      <c r="C271" s="20">
        <f>IF($B271="","",IFERROR(INDEX(Parc!$B$2:$B$301,MATCH($B271,Parc!$A$2:$A$301,0)),"Réf. inconnue"))</f>
      </c>
      <c r="D271" s="9"/>
      <c r="E271" s="9"/>
      <c r="F271" s="9"/>
      <c r="G271" s="9"/>
      <c r="H271" s="9"/>
      <c r="I271" s="24"/>
      <c r="J271" s="9"/>
      <c r="K271" s="9"/>
      <c r="L271" s="20">
        <f>IF(AND(ISNUMBER($A271),$B271&lt;&gt;"",$D271&lt;&gt;"Examen partiel (ne relance pas)"),IF($A271&lt;=TODAY(),$A271,0),0)</f>
      </c>
      <c r="M271" s="20">
        <f>IF($L271=0,"",$B271&amp;"|"&amp;$L271)</f>
      </c>
    </row>
    <row r="272" spans="1:13" x14ac:dyDescent="0.25">
      <c r="A272" s="24"/>
      <c r="B272" s="9"/>
      <c r="C272" s="20">
        <f>IF($B272="","",IFERROR(INDEX(Parc!$B$2:$B$301,MATCH($B272,Parc!$A$2:$A$301,0)),"Réf. inconnue"))</f>
      </c>
      <c r="D272" s="9"/>
      <c r="E272" s="9"/>
      <c r="F272" s="9"/>
      <c r="G272" s="9"/>
      <c r="H272" s="9"/>
      <c r="I272" s="24"/>
      <c r="J272" s="9"/>
      <c r="K272" s="9"/>
      <c r="L272" s="20">
        <f>IF(AND(ISNUMBER($A272),$B272&lt;&gt;"",$D272&lt;&gt;"Examen partiel (ne relance pas)"),IF($A272&lt;=TODAY(),$A272,0),0)</f>
      </c>
      <c r="M272" s="20">
        <f>IF($L272=0,"",$B272&amp;"|"&amp;$L272)</f>
      </c>
    </row>
    <row r="273" spans="1:13" x14ac:dyDescent="0.25">
      <c r="A273" s="24"/>
      <c r="B273" s="9"/>
      <c r="C273" s="20">
        <f>IF($B273="","",IFERROR(INDEX(Parc!$B$2:$B$301,MATCH($B273,Parc!$A$2:$A$301,0)),"Réf. inconnue"))</f>
      </c>
      <c r="D273" s="9"/>
      <c r="E273" s="9"/>
      <c r="F273" s="9"/>
      <c r="G273" s="9"/>
      <c r="H273" s="9"/>
      <c r="I273" s="24"/>
      <c r="J273" s="9"/>
      <c r="K273" s="9"/>
      <c r="L273" s="20">
        <f>IF(AND(ISNUMBER($A273),$B273&lt;&gt;"",$D273&lt;&gt;"Examen partiel (ne relance pas)"),IF($A273&lt;=TODAY(),$A273,0),0)</f>
      </c>
      <c r="M273" s="20">
        <f>IF($L273=0,"",$B273&amp;"|"&amp;$L273)</f>
      </c>
    </row>
    <row r="274" spans="1:13" x14ac:dyDescent="0.25">
      <c r="A274" s="24"/>
      <c r="B274" s="9"/>
      <c r="C274" s="20">
        <f>IF($B274="","",IFERROR(INDEX(Parc!$B$2:$B$301,MATCH($B274,Parc!$A$2:$A$301,0)),"Réf. inconnue"))</f>
      </c>
      <c r="D274" s="9"/>
      <c r="E274" s="9"/>
      <c r="F274" s="9"/>
      <c r="G274" s="9"/>
      <c r="H274" s="9"/>
      <c r="I274" s="24"/>
      <c r="J274" s="9"/>
      <c r="K274" s="9"/>
      <c r="L274" s="20">
        <f>IF(AND(ISNUMBER($A274),$B274&lt;&gt;"",$D274&lt;&gt;"Examen partiel (ne relance pas)"),IF($A274&lt;=TODAY(),$A274,0),0)</f>
      </c>
      <c r="M274" s="20">
        <f>IF($L274=0,"",$B274&amp;"|"&amp;$L274)</f>
      </c>
    </row>
    <row r="275" spans="1:13" x14ac:dyDescent="0.25">
      <c r="A275" s="24"/>
      <c r="B275" s="9"/>
      <c r="C275" s="20">
        <f>IF($B275="","",IFERROR(INDEX(Parc!$B$2:$B$301,MATCH($B275,Parc!$A$2:$A$301,0)),"Réf. inconnue"))</f>
      </c>
      <c r="D275" s="9"/>
      <c r="E275" s="9"/>
      <c r="F275" s="9"/>
      <c r="G275" s="9"/>
      <c r="H275" s="9"/>
      <c r="I275" s="24"/>
      <c r="J275" s="9"/>
      <c r="K275" s="9"/>
      <c r="L275" s="20">
        <f>IF(AND(ISNUMBER($A275),$B275&lt;&gt;"",$D275&lt;&gt;"Examen partiel (ne relance pas)"),IF($A275&lt;=TODAY(),$A275,0),0)</f>
      </c>
      <c r="M275" s="20">
        <f>IF($L275=0,"",$B275&amp;"|"&amp;$L275)</f>
      </c>
    </row>
    <row r="276" spans="1:13" x14ac:dyDescent="0.25">
      <c r="A276" s="24"/>
      <c r="B276" s="9"/>
      <c r="C276" s="20">
        <f>IF($B276="","",IFERROR(INDEX(Parc!$B$2:$B$301,MATCH($B276,Parc!$A$2:$A$301,0)),"Réf. inconnue"))</f>
      </c>
      <c r="D276" s="9"/>
      <c r="E276" s="9"/>
      <c r="F276" s="9"/>
      <c r="G276" s="9"/>
      <c r="H276" s="9"/>
      <c r="I276" s="24"/>
      <c r="J276" s="9"/>
      <c r="K276" s="9"/>
      <c r="L276" s="20">
        <f>IF(AND(ISNUMBER($A276),$B276&lt;&gt;"",$D276&lt;&gt;"Examen partiel (ne relance pas)"),IF($A276&lt;=TODAY(),$A276,0),0)</f>
      </c>
      <c r="M276" s="20">
        <f>IF($L276=0,"",$B276&amp;"|"&amp;$L276)</f>
      </c>
    </row>
    <row r="277" spans="1:13" x14ac:dyDescent="0.25">
      <c r="A277" s="24"/>
      <c r="B277" s="9"/>
      <c r="C277" s="20">
        <f>IF($B277="","",IFERROR(INDEX(Parc!$B$2:$B$301,MATCH($B277,Parc!$A$2:$A$301,0)),"Réf. inconnue"))</f>
      </c>
      <c r="D277" s="9"/>
      <c r="E277" s="9"/>
      <c r="F277" s="9"/>
      <c r="G277" s="9"/>
      <c r="H277" s="9"/>
      <c r="I277" s="24"/>
      <c r="J277" s="9"/>
      <c r="K277" s="9"/>
      <c r="L277" s="20">
        <f>IF(AND(ISNUMBER($A277),$B277&lt;&gt;"",$D277&lt;&gt;"Examen partiel (ne relance pas)"),IF($A277&lt;=TODAY(),$A277,0),0)</f>
      </c>
      <c r="M277" s="20">
        <f>IF($L277=0,"",$B277&amp;"|"&amp;$L277)</f>
      </c>
    </row>
    <row r="278" spans="1:13" x14ac:dyDescent="0.25">
      <c r="A278" s="24"/>
      <c r="B278" s="9"/>
      <c r="C278" s="20">
        <f>IF($B278="","",IFERROR(INDEX(Parc!$B$2:$B$301,MATCH($B278,Parc!$A$2:$A$301,0)),"Réf. inconnue"))</f>
      </c>
      <c r="D278" s="9"/>
      <c r="E278" s="9"/>
      <c r="F278" s="9"/>
      <c r="G278" s="9"/>
      <c r="H278" s="9"/>
      <c r="I278" s="24"/>
      <c r="J278" s="9"/>
      <c r="K278" s="9"/>
      <c r="L278" s="20">
        <f>IF(AND(ISNUMBER($A278),$B278&lt;&gt;"",$D278&lt;&gt;"Examen partiel (ne relance pas)"),IF($A278&lt;=TODAY(),$A278,0),0)</f>
      </c>
      <c r="M278" s="20">
        <f>IF($L278=0,"",$B278&amp;"|"&amp;$L278)</f>
      </c>
    </row>
    <row r="279" spans="1:13" x14ac:dyDescent="0.25">
      <c r="A279" s="24"/>
      <c r="B279" s="9"/>
      <c r="C279" s="20">
        <f>IF($B279="","",IFERROR(INDEX(Parc!$B$2:$B$301,MATCH($B279,Parc!$A$2:$A$301,0)),"Réf. inconnue"))</f>
      </c>
      <c r="D279" s="9"/>
      <c r="E279" s="9"/>
      <c r="F279" s="9"/>
      <c r="G279" s="9"/>
      <c r="H279" s="9"/>
      <c r="I279" s="24"/>
      <c r="J279" s="9"/>
      <c r="K279" s="9"/>
      <c r="L279" s="20">
        <f>IF(AND(ISNUMBER($A279),$B279&lt;&gt;"",$D279&lt;&gt;"Examen partiel (ne relance pas)"),IF($A279&lt;=TODAY(),$A279,0),0)</f>
      </c>
      <c r="M279" s="20">
        <f>IF($L279=0,"",$B279&amp;"|"&amp;$L279)</f>
      </c>
    </row>
    <row r="280" spans="1:13" x14ac:dyDescent="0.25">
      <c r="A280" s="24"/>
      <c r="B280" s="9"/>
      <c r="C280" s="20">
        <f>IF($B280="","",IFERROR(INDEX(Parc!$B$2:$B$301,MATCH($B280,Parc!$A$2:$A$301,0)),"Réf. inconnue"))</f>
      </c>
      <c r="D280" s="9"/>
      <c r="E280" s="9"/>
      <c r="F280" s="9"/>
      <c r="G280" s="9"/>
      <c r="H280" s="9"/>
      <c r="I280" s="24"/>
      <c r="J280" s="9"/>
      <c r="K280" s="9"/>
      <c r="L280" s="20">
        <f>IF(AND(ISNUMBER($A280),$B280&lt;&gt;"",$D280&lt;&gt;"Examen partiel (ne relance pas)"),IF($A280&lt;=TODAY(),$A280,0),0)</f>
      </c>
      <c r="M280" s="20">
        <f>IF($L280=0,"",$B280&amp;"|"&amp;$L280)</f>
      </c>
    </row>
    <row r="281" spans="1:13" x14ac:dyDescent="0.25">
      <c r="A281" s="24"/>
      <c r="B281" s="9"/>
      <c r="C281" s="20">
        <f>IF($B281="","",IFERROR(INDEX(Parc!$B$2:$B$301,MATCH($B281,Parc!$A$2:$A$301,0)),"Réf. inconnue"))</f>
      </c>
      <c r="D281" s="9"/>
      <c r="E281" s="9"/>
      <c r="F281" s="9"/>
      <c r="G281" s="9"/>
      <c r="H281" s="9"/>
      <c r="I281" s="24"/>
      <c r="J281" s="9"/>
      <c r="K281" s="9"/>
      <c r="L281" s="20">
        <f>IF(AND(ISNUMBER($A281),$B281&lt;&gt;"",$D281&lt;&gt;"Examen partiel (ne relance pas)"),IF($A281&lt;=TODAY(),$A281,0),0)</f>
      </c>
      <c r="M281" s="20">
        <f>IF($L281=0,"",$B281&amp;"|"&amp;$L281)</f>
      </c>
    </row>
    <row r="282" spans="1:13" x14ac:dyDescent="0.25">
      <c r="A282" s="24"/>
      <c r="B282" s="9"/>
      <c r="C282" s="20">
        <f>IF($B282="","",IFERROR(INDEX(Parc!$B$2:$B$301,MATCH($B282,Parc!$A$2:$A$301,0)),"Réf. inconnue"))</f>
      </c>
      <c r="D282" s="9"/>
      <c r="E282" s="9"/>
      <c r="F282" s="9"/>
      <c r="G282" s="9"/>
      <c r="H282" s="9"/>
      <c r="I282" s="24"/>
      <c r="J282" s="9"/>
      <c r="K282" s="9"/>
      <c r="L282" s="20">
        <f>IF(AND(ISNUMBER($A282),$B282&lt;&gt;"",$D282&lt;&gt;"Examen partiel (ne relance pas)"),IF($A282&lt;=TODAY(),$A282,0),0)</f>
      </c>
      <c r="M282" s="20">
        <f>IF($L282=0,"",$B282&amp;"|"&amp;$L282)</f>
      </c>
    </row>
    <row r="283" spans="1:13" x14ac:dyDescent="0.25">
      <c r="A283" s="24"/>
      <c r="B283" s="9"/>
      <c r="C283" s="20">
        <f>IF($B283="","",IFERROR(INDEX(Parc!$B$2:$B$301,MATCH($B283,Parc!$A$2:$A$301,0)),"Réf. inconnue"))</f>
      </c>
      <c r="D283" s="9"/>
      <c r="E283" s="9"/>
      <c r="F283" s="9"/>
      <c r="G283" s="9"/>
      <c r="H283" s="9"/>
      <c r="I283" s="24"/>
      <c r="J283" s="9"/>
      <c r="K283" s="9"/>
      <c r="L283" s="20">
        <f>IF(AND(ISNUMBER($A283),$B283&lt;&gt;"",$D283&lt;&gt;"Examen partiel (ne relance pas)"),IF($A283&lt;=TODAY(),$A283,0),0)</f>
      </c>
      <c r="M283" s="20">
        <f>IF($L283=0,"",$B283&amp;"|"&amp;$L283)</f>
      </c>
    </row>
    <row r="284" spans="1:13" x14ac:dyDescent="0.25">
      <c r="A284" s="24"/>
      <c r="B284" s="9"/>
      <c r="C284" s="20">
        <f>IF($B284="","",IFERROR(INDEX(Parc!$B$2:$B$301,MATCH($B284,Parc!$A$2:$A$301,0)),"Réf. inconnue"))</f>
      </c>
      <c r="D284" s="9"/>
      <c r="E284" s="9"/>
      <c r="F284" s="9"/>
      <c r="G284" s="9"/>
      <c r="H284" s="9"/>
      <c r="I284" s="24"/>
      <c r="J284" s="9"/>
      <c r="K284" s="9"/>
      <c r="L284" s="20">
        <f>IF(AND(ISNUMBER($A284),$B284&lt;&gt;"",$D284&lt;&gt;"Examen partiel (ne relance pas)"),IF($A284&lt;=TODAY(),$A284,0),0)</f>
      </c>
      <c r="M284" s="20">
        <f>IF($L284=0,"",$B284&amp;"|"&amp;$L284)</f>
      </c>
    </row>
    <row r="285" spans="1:13" x14ac:dyDescent="0.25">
      <c r="A285" s="24"/>
      <c r="B285" s="9"/>
      <c r="C285" s="20">
        <f>IF($B285="","",IFERROR(INDEX(Parc!$B$2:$B$301,MATCH($B285,Parc!$A$2:$A$301,0)),"Réf. inconnue"))</f>
      </c>
      <c r="D285" s="9"/>
      <c r="E285" s="9"/>
      <c r="F285" s="9"/>
      <c r="G285" s="9"/>
      <c r="H285" s="9"/>
      <c r="I285" s="24"/>
      <c r="J285" s="9"/>
      <c r="K285" s="9"/>
      <c r="L285" s="20">
        <f>IF(AND(ISNUMBER($A285),$B285&lt;&gt;"",$D285&lt;&gt;"Examen partiel (ne relance pas)"),IF($A285&lt;=TODAY(),$A285,0),0)</f>
      </c>
      <c r="M285" s="20">
        <f>IF($L285=0,"",$B285&amp;"|"&amp;$L285)</f>
      </c>
    </row>
    <row r="286" spans="1:13" x14ac:dyDescent="0.25">
      <c r="A286" s="24"/>
      <c r="B286" s="9"/>
      <c r="C286" s="20">
        <f>IF($B286="","",IFERROR(INDEX(Parc!$B$2:$B$301,MATCH($B286,Parc!$A$2:$A$301,0)),"Réf. inconnue"))</f>
      </c>
      <c r="D286" s="9"/>
      <c r="E286" s="9"/>
      <c r="F286" s="9"/>
      <c r="G286" s="9"/>
      <c r="H286" s="9"/>
      <c r="I286" s="24"/>
      <c r="J286" s="9"/>
      <c r="K286" s="9"/>
      <c r="L286" s="20">
        <f>IF(AND(ISNUMBER($A286),$B286&lt;&gt;"",$D286&lt;&gt;"Examen partiel (ne relance pas)"),IF($A286&lt;=TODAY(),$A286,0),0)</f>
      </c>
      <c r="M286" s="20">
        <f>IF($L286=0,"",$B286&amp;"|"&amp;$L286)</f>
      </c>
    </row>
    <row r="287" spans="1:13" x14ac:dyDescent="0.25">
      <c r="A287" s="24"/>
      <c r="B287" s="9"/>
      <c r="C287" s="20">
        <f>IF($B287="","",IFERROR(INDEX(Parc!$B$2:$B$301,MATCH($B287,Parc!$A$2:$A$301,0)),"Réf. inconnue"))</f>
      </c>
      <c r="D287" s="9"/>
      <c r="E287" s="9"/>
      <c r="F287" s="9"/>
      <c r="G287" s="9"/>
      <c r="H287" s="9"/>
      <c r="I287" s="24"/>
      <c r="J287" s="9"/>
      <c r="K287" s="9"/>
      <c r="L287" s="20">
        <f>IF(AND(ISNUMBER($A287),$B287&lt;&gt;"",$D287&lt;&gt;"Examen partiel (ne relance pas)"),IF($A287&lt;=TODAY(),$A287,0),0)</f>
      </c>
      <c r="M287" s="20">
        <f>IF($L287=0,"",$B287&amp;"|"&amp;$L287)</f>
      </c>
    </row>
    <row r="288" spans="1:13" x14ac:dyDescent="0.25">
      <c r="A288" s="24"/>
      <c r="B288" s="9"/>
      <c r="C288" s="20">
        <f>IF($B288="","",IFERROR(INDEX(Parc!$B$2:$B$301,MATCH($B288,Parc!$A$2:$A$301,0)),"Réf. inconnue"))</f>
      </c>
      <c r="D288" s="9"/>
      <c r="E288" s="9"/>
      <c r="F288" s="9"/>
      <c r="G288" s="9"/>
      <c r="H288" s="9"/>
      <c r="I288" s="24"/>
      <c r="J288" s="9"/>
      <c r="K288" s="9"/>
      <c r="L288" s="20">
        <f>IF(AND(ISNUMBER($A288),$B288&lt;&gt;"",$D288&lt;&gt;"Examen partiel (ne relance pas)"),IF($A288&lt;=TODAY(),$A288,0),0)</f>
      </c>
      <c r="M288" s="20">
        <f>IF($L288=0,"",$B288&amp;"|"&amp;$L288)</f>
      </c>
    </row>
    <row r="289" spans="1:13" x14ac:dyDescent="0.25">
      <c r="A289" s="24"/>
      <c r="B289" s="9"/>
      <c r="C289" s="20">
        <f>IF($B289="","",IFERROR(INDEX(Parc!$B$2:$B$301,MATCH($B289,Parc!$A$2:$A$301,0)),"Réf. inconnue"))</f>
      </c>
      <c r="D289" s="9"/>
      <c r="E289" s="9"/>
      <c r="F289" s="9"/>
      <c r="G289" s="9"/>
      <c r="H289" s="9"/>
      <c r="I289" s="24"/>
      <c r="J289" s="9"/>
      <c r="K289" s="9"/>
      <c r="L289" s="20">
        <f>IF(AND(ISNUMBER($A289),$B289&lt;&gt;"",$D289&lt;&gt;"Examen partiel (ne relance pas)"),IF($A289&lt;=TODAY(),$A289,0),0)</f>
      </c>
      <c r="M289" s="20">
        <f>IF($L289=0,"",$B289&amp;"|"&amp;$L289)</f>
      </c>
    </row>
    <row r="290" spans="1:13" x14ac:dyDescent="0.25">
      <c r="A290" s="24"/>
      <c r="B290" s="9"/>
      <c r="C290" s="20">
        <f>IF($B290="","",IFERROR(INDEX(Parc!$B$2:$B$301,MATCH($B290,Parc!$A$2:$A$301,0)),"Réf. inconnue"))</f>
      </c>
      <c r="D290" s="9"/>
      <c r="E290" s="9"/>
      <c r="F290" s="9"/>
      <c r="G290" s="9"/>
      <c r="H290" s="9"/>
      <c r="I290" s="24"/>
      <c r="J290" s="9"/>
      <c r="K290" s="9"/>
      <c r="L290" s="20">
        <f>IF(AND(ISNUMBER($A290),$B290&lt;&gt;"",$D290&lt;&gt;"Examen partiel (ne relance pas)"),IF($A290&lt;=TODAY(),$A290,0),0)</f>
      </c>
      <c r="M290" s="20">
        <f>IF($L290=0,"",$B290&amp;"|"&amp;$L290)</f>
      </c>
    </row>
    <row r="291" spans="1:13" x14ac:dyDescent="0.25">
      <c r="A291" s="24"/>
      <c r="B291" s="9"/>
      <c r="C291" s="20">
        <f>IF($B291="","",IFERROR(INDEX(Parc!$B$2:$B$301,MATCH($B291,Parc!$A$2:$A$301,0)),"Réf. inconnue"))</f>
      </c>
      <c r="D291" s="9"/>
      <c r="E291" s="9"/>
      <c r="F291" s="9"/>
      <c r="G291" s="9"/>
      <c r="H291" s="9"/>
      <c r="I291" s="24"/>
      <c r="J291" s="9"/>
      <c r="K291" s="9"/>
      <c r="L291" s="20">
        <f>IF(AND(ISNUMBER($A291),$B291&lt;&gt;"",$D291&lt;&gt;"Examen partiel (ne relance pas)"),IF($A291&lt;=TODAY(),$A291,0),0)</f>
      </c>
      <c r="M291" s="20">
        <f>IF($L291=0,"",$B291&amp;"|"&amp;$L291)</f>
      </c>
    </row>
    <row r="292" spans="1:13" x14ac:dyDescent="0.25">
      <c r="A292" s="24"/>
      <c r="B292" s="9"/>
      <c r="C292" s="20">
        <f>IF($B292="","",IFERROR(INDEX(Parc!$B$2:$B$301,MATCH($B292,Parc!$A$2:$A$301,0)),"Réf. inconnue"))</f>
      </c>
      <c r="D292" s="9"/>
      <c r="E292" s="9"/>
      <c r="F292" s="9"/>
      <c r="G292" s="9"/>
      <c r="H292" s="9"/>
      <c r="I292" s="24"/>
      <c r="J292" s="9"/>
      <c r="K292" s="9"/>
      <c r="L292" s="20">
        <f>IF(AND(ISNUMBER($A292),$B292&lt;&gt;"",$D292&lt;&gt;"Examen partiel (ne relance pas)"),IF($A292&lt;=TODAY(),$A292,0),0)</f>
      </c>
      <c r="M292" s="20">
        <f>IF($L292=0,"",$B292&amp;"|"&amp;$L292)</f>
      </c>
    </row>
    <row r="293" spans="1:13" x14ac:dyDescent="0.25">
      <c r="A293" s="24"/>
      <c r="B293" s="9"/>
      <c r="C293" s="20">
        <f>IF($B293="","",IFERROR(INDEX(Parc!$B$2:$B$301,MATCH($B293,Parc!$A$2:$A$301,0)),"Réf. inconnue"))</f>
      </c>
      <c r="D293" s="9"/>
      <c r="E293" s="9"/>
      <c r="F293" s="9"/>
      <c r="G293" s="9"/>
      <c r="H293" s="9"/>
      <c r="I293" s="24"/>
      <c r="J293" s="9"/>
      <c r="K293" s="9"/>
      <c r="L293" s="20">
        <f>IF(AND(ISNUMBER($A293),$B293&lt;&gt;"",$D293&lt;&gt;"Examen partiel (ne relance pas)"),IF($A293&lt;=TODAY(),$A293,0),0)</f>
      </c>
      <c r="M293" s="20">
        <f>IF($L293=0,"",$B293&amp;"|"&amp;$L293)</f>
      </c>
    </row>
    <row r="294" spans="1:13" x14ac:dyDescent="0.25">
      <c r="A294" s="24"/>
      <c r="B294" s="9"/>
      <c r="C294" s="20">
        <f>IF($B294="","",IFERROR(INDEX(Parc!$B$2:$B$301,MATCH($B294,Parc!$A$2:$A$301,0)),"Réf. inconnue"))</f>
      </c>
      <c r="D294" s="9"/>
      <c r="E294" s="9"/>
      <c r="F294" s="9"/>
      <c r="G294" s="9"/>
      <c r="H294" s="9"/>
      <c r="I294" s="24"/>
      <c r="J294" s="9"/>
      <c r="K294" s="9"/>
      <c r="L294" s="20">
        <f>IF(AND(ISNUMBER($A294),$B294&lt;&gt;"",$D294&lt;&gt;"Examen partiel (ne relance pas)"),IF($A294&lt;=TODAY(),$A294,0),0)</f>
      </c>
      <c r="M294" s="20">
        <f>IF($L294=0,"",$B294&amp;"|"&amp;$L294)</f>
      </c>
    </row>
    <row r="295" spans="1:13" x14ac:dyDescent="0.25">
      <c r="A295" s="24"/>
      <c r="B295" s="9"/>
      <c r="C295" s="20">
        <f>IF($B295="","",IFERROR(INDEX(Parc!$B$2:$B$301,MATCH($B295,Parc!$A$2:$A$301,0)),"Réf. inconnue"))</f>
      </c>
      <c r="D295" s="9"/>
      <c r="E295" s="9"/>
      <c r="F295" s="9"/>
      <c r="G295" s="9"/>
      <c r="H295" s="9"/>
      <c r="I295" s="24"/>
      <c r="J295" s="9"/>
      <c r="K295" s="9"/>
      <c r="L295" s="20">
        <f>IF(AND(ISNUMBER($A295),$B295&lt;&gt;"",$D295&lt;&gt;"Examen partiel (ne relance pas)"),IF($A295&lt;=TODAY(),$A295,0),0)</f>
      </c>
      <c r="M295" s="20">
        <f>IF($L295=0,"",$B295&amp;"|"&amp;$L295)</f>
      </c>
    </row>
    <row r="296" spans="1:13" x14ac:dyDescent="0.25">
      <c r="A296" s="24"/>
      <c r="B296" s="9"/>
      <c r="C296" s="20">
        <f>IF($B296="","",IFERROR(INDEX(Parc!$B$2:$B$301,MATCH($B296,Parc!$A$2:$A$301,0)),"Réf. inconnue"))</f>
      </c>
      <c r="D296" s="9"/>
      <c r="E296" s="9"/>
      <c r="F296" s="9"/>
      <c r="G296" s="9"/>
      <c r="H296" s="9"/>
      <c r="I296" s="24"/>
      <c r="J296" s="9"/>
      <c r="K296" s="9"/>
      <c r="L296" s="20">
        <f>IF(AND(ISNUMBER($A296),$B296&lt;&gt;"",$D296&lt;&gt;"Examen partiel (ne relance pas)"),IF($A296&lt;=TODAY(),$A296,0),0)</f>
      </c>
      <c r="M296" s="20">
        <f>IF($L296=0,"",$B296&amp;"|"&amp;$L296)</f>
      </c>
    </row>
    <row r="297" spans="1:13" x14ac:dyDescent="0.25">
      <c r="A297" s="24"/>
      <c r="B297" s="9"/>
      <c r="C297" s="20">
        <f>IF($B297="","",IFERROR(INDEX(Parc!$B$2:$B$301,MATCH($B297,Parc!$A$2:$A$301,0)),"Réf. inconnue"))</f>
      </c>
      <c r="D297" s="9"/>
      <c r="E297" s="9"/>
      <c r="F297" s="9"/>
      <c r="G297" s="9"/>
      <c r="H297" s="9"/>
      <c r="I297" s="24"/>
      <c r="J297" s="9"/>
      <c r="K297" s="9"/>
      <c r="L297" s="20">
        <f>IF(AND(ISNUMBER($A297),$B297&lt;&gt;"",$D297&lt;&gt;"Examen partiel (ne relance pas)"),IF($A297&lt;=TODAY(),$A297,0),0)</f>
      </c>
      <c r="M297" s="20">
        <f>IF($L297=0,"",$B297&amp;"|"&amp;$L297)</f>
      </c>
    </row>
    <row r="298" spans="1:13" x14ac:dyDescent="0.25">
      <c r="A298" s="24"/>
      <c r="B298" s="9"/>
      <c r="C298" s="20">
        <f>IF($B298="","",IFERROR(INDEX(Parc!$B$2:$B$301,MATCH($B298,Parc!$A$2:$A$301,0)),"Réf. inconnue"))</f>
      </c>
      <c r="D298" s="9"/>
      <c r="E298" s="9"/>
      <c r="F298" s="9"/>
      <c r="G298" s="9"/>
      <c r="H298" s="9"/>
      <c r="I298" s="24"/>
      <c r="J298" s="9"/>
      <c r="K298" s="9"/>
      <c r="L298" s="20">
        <f>IF(AND(ISNUMBER($A298),$B298&lt;&gt;"",$D298&lt;&gt;"Examen partiel (ne relance pas)"),IF($A298&lt;=TODAY(),$A298,0),0)</f>
      </c>
      <c r="M298" s="20">
        <f>IF($L298=0,"",$B298&amp;"|"&amp;$L298)</f>
      </c>
    </row>
    <row r="299" spans="1:13" x14ac:dyDescent="0.25">
      <c r="A299" s="24"/>
      <c r="B299" s="9"/>
      <c r="C299" s="20">
        <f>IF($B299="","",IFERROR(INDEX(Parc!$B$2:$B$301,MATCH($B299,Parc!$A$2:$A$301,0)),"Réf. inconnue"))</f>
      </c>
      <c r="D299" s="9"/>
      <c r="E299" s="9"/>
      <c r="F299" s="9"/>
      <c r="G299" s="9"/>
      <c r="H299" s="9"/>
      <c r="I299" s="24"/>
      <c r="J299" s="9"/>
      <c r="K299" s="9"/>
      <c r="L299" s="20">
        <f>IF(AND(ISNUMBER($A299),$B299&lt;&gt;"",$D299&lt;&gt;"Examen partiel (ne relance pas)"),IF($A299&lt;=TODAY(),$A299,0),0)</f>
      </c>
      <c r="M299" s="20">
        <f>IF($L299=0,"",$B299&amp;"|"&amp;$L299)</f>
      </c>
    </row>
    <row r="300" spans="1:13" x14ac:dyDescent="0.25">
      <c r="A300" s="24"/>
      <c r="B300" s="9"/>
      <c r="C300" s="20">
        <f>IF($B300="","",IFERROR(INDEX(Parc!$B$2:$B$301,MATCH($B300,Parc!$A$2:$A$301,0)),"Réf. inconnue"))</f>
      </c>
      <c r="D300" s="9"/>
      <c r="E300" s="9"/>
      <c r="F300" s="9"/>
      <c r="G300" s="9"/>
      <c r="H300" s="9"/>
      <c r="I300" s="24"/>
      <c r="J300" s="9"/>
      <c r="K300" s="9"/>
      <c r="L300" s="20">
        <f>IF(AND(ISNUMBER($A300),$B300&lt;&gt;"",$D300&lt;&gt;"Examen partiel (ne relance pas)"),IF($A300&lt;=TODAY(),$A300,0),0)</f>
      </c>
      <c r="M300" s="20">
        <f>IF($L300=0,"",$B300&amp;"|"&amp;$L300)</f>
      </c>
    </row>
    <row r="301" spans="1:13" x14ac:dyDescent="0.25">
      <c r="A301" s="24"/>
      <c r="B301" s="9"/>
      <c r="C301" s="20">
        <f>IF($B301="","",IFERROR(INDEX(Parc!$B$2:$B$301,MATCH($B301,Parc!$A$2:$A$301,0)),"Réf. inconnue"))</f>
      </c>
      <c r="D301" s="9"/>
      <c r="E301" s="9"/>
      <c r="F301" s="9"/>
      <c r="G301" s="9"/>
      <c r="H301" s="9"/>
      <c r="I301" s="24"/>
      <c r="J301" s="9"/>
      <c r="K301" s="9"/>
      <c r="L301" s="20">
        <f>IF(AND(ISNUMBER($A301),$B301&lt;&gt;"",$D301&lt;&gt;"Examen partiel (ne relance pas)"),IF($A301&lt;=TODAY(),$A301,0),0)</f>
      </c>
      <c r="M301" s="20">
        <f>IF($L301=0,"",$B301&amp;"|"&amp;$L301)</f>
      </c>
    </row>
    <row r="302" spans="1:13" x14ac:dyDescent="0.25">
      <c r="A302" s="24"/>
      <c r="B302" s="9"/>
      <c r="C302" s="20">
        <f>IF($B302="","",IFERROR(INDEX(Parc!$B$2:$B$301,MATCH($B302,Parc!$A$2:$A$301,0)),"Réf. inconnue"))</f>
      </c>
      <c r="D302" s="9"/>
      <c r="E302" s="9"/>
      <c r="F302" s="9"/>
      <c r="G302" s="9"/>
      <c r="H302" s="9"/>
      <c r="I302" s="24"/>
      <c r="J302" s="9"/>
      <c r="K302" s="9"/>
      <c r="L302" s="20">
        <f>IF(AND(ISNUMBER($A302),$B302&lt;&gt;"",$D302&lt;&gt;"Examen partiel (ne relance pas)"),IF($A302&lt;=TODAY(),$A302,0),0)</f>
      </c>
      <c r="M302" s="20">
        <f>IF($L302=0,"",$B302&amp;"|"&amp;$L302)</f>
      </c>
    </row>
    <row r="303" spans="1:13" x14ac:dyDescent="0.25">
      <c r="A303" s="24"/>
      <c r="B303" s="9"/>
      <c r="C303" s="20">
        <f>IF($B303="","",IFERROR(INDEX(Parc!$B$2:$B$301,MATCH($B303,Parc!$A$2:$A$301,0)),"Réf. inconnue"))</f>
      </c>
      <c r="D303" s="9"/>
      <c r="E303" s="9"/>
      <c r="F303" s="9"/>
      <c r="G303" s="9"/>
      <c r="H303" s="9"/>
      <c r="I303" s="24"/>
      <c r="J303" s="9"/>
      <c r="K303" s="9"/>
      <c r="L303" s="20">
        <f>IF(AND(ISNUMBER($A303),$B303&lt;&gt;"",$D303&lt;&gt;"Examen partiel (ne relance pas)"),IF($A303&lt;=TODAY(),$A303,0),0)</f>
      </c>
      <c r="M303" s="20">
        <f>IF($L303=0,"",$B303&amp;"|"&amp;$L303)</f>
      </c>
    </row>
    <row r="304" spans="1:13" x14ac:dyDescent="0.25">
      <c r="A304" s="24"/>
      <c r="B304" s="9"/>
      <c r="C304" s="20">
        <f>IF($B304="","",IFERROR(INDEX(Parc!$B$2:$B$301,MATCH($B304,Parc!$A$2:$A$301,0)),"Réf. inconnue"))</f>
      </c>
      <c r="D304" s="9"/>
      <c r="E304" s="9"/>
      <c r="F304" s="9"/>
      <c r="G304" s="9"/>
      <c r="H304" s="9"/>
      <c r="I304" s="24"/>
      <c r="J304" s="9"/>
      <c r="K304" s="9"/>
      <c r="L304" s="20">
        <f>IF(AND(ISNUMBER($A304),$B304&lt;&gt;"",$D304&lt;&gt;"Examen partiel (ne relance pas)"),IF($A304&lt;=TODAY(),$A304,0),0)</f>
      </c>
      <c r="M304" s="20">
        <f>IF($L304=0,"",$B304&amp;"|"&amp;$L304)</f>
      </c>
    </row>
    <row r="305" spans="1:13" x14ac:dyDescent="0.25">
      <c r="A305" s="24"/>
      <c r="B305" s="9"/>
      <c r="C305" s="20">
        <f>IF($B305="","",IFERROR(INDEX(Parc!$B$2:$B$301,MATCH($B305,Parc!$A$2:$A$301,0)),"Réf. inconnue"))</f>
      </c>
      <c r="D305" s="9"/>
      <c r="E305" s="9"/>
      <c r="F305" s="9"/>
      <c r="G305" s="9"/>
      <c r="H305" s="9"/>
      <c r="I305" s="24"/>
      <c r="J305" s="9"/>
      <c r="K305" s="9"/>
      <c r="L305" s="20">
        <f>IF(AND(ISNUMBER($A305),$B305&lt;&gt;"",$D305&lt;&gt;"Examen partiel (ne relance pas)"),IF($A305&lt;=TODAY(),$A305,0),0)</f>
      </c>
      <c r="M305" s="20">
        <f>IF($L305=0,"",$B305&amp;"|"&amp;$L305)</f>
      </c>
    </row>
    <row r="306" spans="1:13" x14ac:dyDescent="0.25">
      <c r="A306" s="24"/>
      <c r="B306" s="9"/>
      <c r="C306" s="20">
        <f>IF($B306="","",IFERROR(INDEX(Parc!$B$2:$B$301,MATCH($B306,Parc!$A$2:$A$301,0)),"Réf. inconnue"))</f>
      </c>
      <c r="D306" s="9"/>
      <c r="E306" s="9"/>
      <c r="F306" s="9"/>
      <c r="G306" s="9"/>
      <c r="H306" s="9"/>
      <c r="I306" s="24"/>
      <c r="J306" s="9"/>
      <c r="K306" s="9"/>
      <c r="L306" s="20">
        <f>IF(AND(ISNUMBER($A306),$B306&lt;&gt;"",$D306&lt;&gt;"Examen partiel (ne relance pas)"),IF($A306&lt;=TODAY(),$A306,0),0)</f>
      </c>
      <c r="M306" s="20">
        <f>IF($L306=0,"",$B306&amp;"|"&amp;$L306)</f>
      </c>
    </row>
    <row r="307" spans="1:13" x14ac:dyDescent="0.25">
      <c r="A307" s="24"/>
      <c r="B307" s="9"/>
      <c r="C307" s="20">
        <f>IF($B307="","",IFERROR(INDEX(Parc!$B$2:$B$301,MATCH($B307,Parc!$A$2:$A$301,0)),"Réf. inconnue"))</f>
      </c>
      <c r="D307" s="9"/>
      <c r="E307" s="9"/>
      <c r="F307" s="9"/>
      <c r="G307" s="9"/>
      <c r="H307" s="9"/>
      <c r="I307" s="24"/>
      <c r="J307" s="9"/>
      <c r="K307" s="9"/>
      <c r="L307" s="20">
        <f>IF(AND(ISNUMBER($A307),$B307&lt;&gt;"",$D307&lt;&gt;"Examen partiel (ne relance pas)"),IF($A307&lt;=TODAY(),$A307,0),0)</f>
      </c>
      <c r="M307" s="20">
        <f>IF($L307=0,"",$B307&amp;"|"&amp;$L307)</f>
      </c>
    </row>
    <row r="308" spans="1:13" x14ac:dyDescent="0.25">
      <c r="A308" s="24"/>
      <c r="B308" s="9"/>
      <c r="C308" s="20">
        <f>IF($B308="","",IFERROR(INDEX(Parc!$B$2:$B$301,MATCH($B308,Parc!$A$2:$A$301,0)),"Réf. inconnue"))</f>
      </c>
      <c r="D308" s="9"/>
      <c r="E308" s="9"/>
      <c r="F308" s="9"/>
      <c r="G308" s="9"/>
      <c r="H308" s="9"/>
      <c r="I308" s="24"/>
      <c r="J308" s="9"/>
      <c r="K308" s="9"/>
      <c r="L308" s="20">
        <f>IF(AND(ISNUMBER($A308),$B308&lt;&gt;"",$D308&lt;&gt;"Examen partiel (ne relance pas)"),IF($A308&lt;=TODAY(),$A308,0),0)</f>
      </c>
      <c r="M308" s="20">
        <f>IF($L308=0,"",$B308&amp;"|"&amp;$L308)</f>
      </c>
    </row>
    <row r="309" spans="1:13" x14ac:dyDescent="0.25">
      <c r="A309" s="24"/>
      <c r="B309" s="9"/>
      <c r="C309" s="20">
        <f>IF($B309="","",IFERROR(INDEX(Parc!$B$2:$B$301,MATCH($B309,Parc!$A$2:$A$301,0)),"Réf. inconnue"))</f>
      </c>
      <c r="D309" s="9"/>
      <c r="E309" s="9"/>
      <c r="F309" s="9"/>
      <c r="G309" s="9"/>
      <c r="H309" s="9"/>
      <c r="I309" s="24"/>
      <c r="J309" s="9"/>
      <c r="K309" s="9"/>
      <c r="L309" s="20">
        <f>IF(AND(ISNUMBER($A309),$B309&lt;&gt;"",$D309&lt;&gt;"Examen partiel (ne relance pas)"),IF($A309&lt;=TODAY(),$A309,0),0)</f>
      </c>
      <c r="M309" s="20">
        <f>IF($L309=0,"",$B309&amp;"|"&amp;$L309)</f>
      </c>
    </row>
    <row r="310" spans="1:13" x14ac:dyDescent="0.25">
      <c r="A310" s="24"/>
      <c r="B310" s="9"/>
      <c r="C310" s="20">
        <f>IF($B310="","",IFERROR(INDEX(Parc!$B$2:$B$301,MATCH($B310,Parc!$A$2:$A$301,0)),"Réf. inconnue"))</f>
      </c>
      <c r="D310" s="9"/>
      <c r="E310" s="9"/>
      <c r="F310" s="9"/>
      <c r="G310" s="9"/>
      <c r="H310" s="9"/>
      <c r="I310" s="24"/>
      <c r="J310" s="9"/>
      <c r="K310" s="9"/>
      <c r="L310" s="20">
        <f>IF(AND(ISNUMBER($A310),$B310&lt;&gt;"",$D310&lt;&gt;"Examen partiel (ne relance pas)"),IF($A310&lt;=TODAY(),$A310,0),0)</f>
      </c>
      <c r="M310" s="20">
        <f>IF($L310=0,"",$B310&amp;"|"&amp;$L310)</f>
      </c>
    </row>
    <row r="311" spans="1:13" x14ac:dyDescent="0.25">
      <c r="A311" s="24"/>
      <c r="B311" s="9"/>
      <c r="C311" s="20">
        <f>IF($B311="","",IFERROR(INDEX(Parc!$B$2:$B$301,MATCH($B311,Parc!$A$2:$A$301,0)),"Réf. inconnue"))</f>
      </c>
      <c r="D311" s="9"/>
      <c r="E311" s="9"/>
      <c r="F311" s="9"/>
      <c r="G311" s="9"/>
      <c r="H311" s="9"/>
      <c r="I311" s="24"/>
      <c r="J311" s="9"/>
      <c r="K311" s="9"/>
      <c r="L311" s="20">
        <f>IF(AND(ISNUMBER($A311),$B311&lt;&gt;"",$D311&lt;&gt;"Examen partiel (ne relance pas)"),IF($A311&lt;=TODAY(),$A311,0),0)</f>
      </c>
      <c r="M311" s="20">
        <f>IF($L311=0,"",$B311&amp;"|"&amp;$L311)</f>
      </c>
    </row>
    <row r="312" spans="1:13" x14ac:dyDescent="0.25">
      <c r="A312" s="24"/>
      <c r="B312" s="9"/>
      <c r="C312" s="20">
        <f>IF($B312="","",IFERROR(INDEX(Parc!$B$2:$B$301,MATCH($B312,Parc!$A$2:$A$301,0)),"Réf. inconnue"))</f>
      </c>
      <c r="D312" s="9"/>
      <c r="E312" s="9"/>
      <c r="F312" s="9"/>
      <c r="G312" s="9"/>
      <c r="H312" s="9"/>
      <c r="I312" s="24"/>
      <c r="J312" s="9"/>
      <c r="K312" s="9"/>
      <c r="L312" s="20">
        <f>IF(AND(ISNUMBER($A312),$B312&lt;&gt;"",$D312&lt;&gt;"Examen partiel (ne relance pas)"),IF($A312&lt;=TODAY(),$A312,0),0)</f>
      </c>
      <c r="M312" s="20">
        <f>IF($L312=0,"",$B312&amp;"|"&amp;$L312)</f>
      </c>
    </row>
    <row r="313" spans="1:13" x14ac:dyDescent="0.25">
      <c r="A313" s="24"/>
      <c r="B313" s="9"/>
      <c r="C313" s="20">
        <f>IF($B313="","",IFERROR(INDEX(Parc!$B$2:$B$301,MATCH($B313,Parc!$A$2:$A$301,0)),"Réf. inconnue"))</f>
      </c>
      <c r="D313" s="9"/>
      <c r="E313" s="9"/>
      <c r="F313" s="9"/>
      <c r="G313" s="9"/>
      <c r="H313" s="9"/>
      <c r="I313" s="24"/>
      <c r="J313" s="9"/>
      <c r="K313" s="9"/>
      <c r="L313" s="20">
        <f>IF(AND(ISNUMBER($A313),$B313&lt;&gt;"",$D313&lt;&gt;"Examen partiel (ne relance pas)"),IF($A313&lt;=TODAY(),$A313,0),0)</f>
      </c>
      <c r="M313" s="20">
        <f>IF($L313=0,"",$B313&amp;"|"&amp;$L313)</f>
      </c>
    </row>
    <row r="314" spans="1:13" x14ac:dyDescent="0.25">
      <c r="A314" s="24"/>
      <c r="B314" s="9"/>
      <c r="C314" s="20">
        <f>IF($B314="","",IFERROR(INDEX(Parc!$B$2:$B$301,MATCH($B314,Parc!$A$2:$A$301,0)),"Réf. inconnue"))</f>
      </c>
      <c r="D314" s="9"/>
      <c r="E314" s="9"/>
      <c r="F314" s="9"/>
      <c r="G314" s="9"/>
      <c r="H314" s="9"/>
      <c r="I314" s="24"/>
      <c r="J314" s="9"/>
      <c r="K314" s="9"/>
      <c r="L314" s="20">
        <f>IF(AND(ISNUMBER($A314),$B314&lt;&gt;"",$D314&lt;&gt;"Examen partiel (ne relance pas)"),IF($A314&lt;=TODAY(),$A314,0),0)</f>
      </c>
      <c r="M314" s="20">
        <f>IF($L314=0,"",$B314&amp;"|"&amp;$L314)</f>
      </c>
    </row>
    <row r="315" spans="1:13" x14ac:dyDescent="0.25">
      <c r="A315" s="24"/>
      <c r="B315" s="9"/>
      <c r="C315" s="20">
        <f>IF($B315="","",IFERROR(INDEX(Parc!$B$2:$B$301,MATCH($B315,Parc!$A$2:$A$301,0)),"Réf. inconnue"))</f>
      </c>
      <c r="D315" s="9"/>
      <c r="E315" s="9"/>
      <c r="F315" s="9"/>
      <c r="G315" s="9"/>
      <c r="H315" s="9"/>
      <c r="I315" s="24"/>
      <c r="J315" s="9"/>
      <c r="K315" s="9"/>
      <c r="L315" s="20">
        <f>IF(AND(ISNUMBER($A315),$B315&lt;&gt;"",$D315&lt;&gt;"Examen partiel (ne relance pas)"),IF($A315&lt;=TODAY(),$A315,0),0)</f>
      </c>
      <c r="M315" s="20">
        <f>IF($L315=0,"",$B315&amp;"|"&amp;$L315)</f>
      </c>
    </row>
    <row r="316" spans="1:13" x14ac:dyDescent="0.25">
      <c r="A316" s="24"/>
      <c r="B316" s="9"/>
      <c r="C316" s="20">
        <f>IF($B316="","",IFERROR(INDEX(Parc!$B$2:$B$301,MATCH($B316,Parc!$A$2:$A$301,0)),"Réf. inconnue"))</f>
      </c>
      <c r="D316" s="9"/>
      <c r="E316" s="9"/>
      <c r="F316" s="9"/>
      <c r="G316" s="9"/>
      <c r="H316" s="9"/>
      <c r="I316" s="24"/>
      <c r="J316" s="9"/>
      <c r="K316" s="9"/>
      <c r="L316" s="20">
        <f>IF(AND(ISNUMBER($A316),$B316&lt;&gt;"",$D316&lt;&gt;"Examen partiel (ne relance pas)"),IF($A316&lt;=TODAY(),$A316,0),0)</f>
      </c>
      <c r="M316" s="20">
        <f>IF($L316=0,"",$B316&amp;"|"&amp;$L316)</f>
      </c>
    </row>
    <row r="317" spans="1:13" x14ac:dyDescent="0.25">
      <c r="A317" s="24"/>
      <c r="B317" s="9"/>
      <c r="C317" s="20">
        <f>IF($B317="","",IFERROR(INDEX(Parc!$B$2:$B$301,MATCH($B317,Parc!$A$2:$A$301,0)),"Réf. inconnue"))</f>
      </c>
      <c r="D317" s="9"/>
      <c r="E317" s="9"/>
      <c r="F317" s="9"/>
      <c r="G317" s="9"/>
      <c r="H317" s="9"/>
      <c r="I317" s="24"/>
      <c r="J317" s="9"/>
      <c r="K317" s="9"/>
      <c r="L317" s="20">
        <f>IF(AND(ISNUMBER($A317),$B317&lt;&gt;"",$D317&lt;&gt;"Examen partiel (ne relance pas)"),IF($A317&lt;=TODAY(),$A317,0),0)</f>
      </c>
      <c r="M317" s="20">
        <f>IF($L317=0,"",$B317&amp;"|"&amp;$L317)</f>
      </c>
    </row>
    <row r="318" spans="1:13" x14ac:dyDescent="0.25">
      <c r="A318" s="24"/>
      <c r="B318" s="9"/>
      <c r="C318" s="20">
        <f>IF($B318="","",IFERROR(INDEX(Parc!$B$2:$B$301,MATCH($B318,Parc!$A$2:$A$301,0)),"Réf. inconnue"))</f>
      </c>
      <c r="D318" s="9"/>
      <c r="E318" s="9"/>
      <c r="F318" s="9"/>
      <c r="G318" s="9"/>
      <c r="H318" s="9"/>
      <c r="I318" s="24"/>
      <c r="J318" s="9"/>
      <c r="K318" s="9"/>
      <c r="L318" s="20">
        <f>IF(AND(ISNUMBER($A318),$B318&lt;&gt;"",$D318&lt;&gt;"Examen partiel (ne relance pas)"),IF($A318&lt;=TODAY(),$A318,0),0)</f>
      </c>
      <c r="M318" s="20">
        <f>IF($L318=0,"",$B318&amp;"|"&amp;$L318)</f>
      </c>
    </row>
    <row r="319" spans="1:13" x14ac:dyDescent="0.25">
      <c r="A319" s="24"/>
      <c r="B319" s="9"/>
      <c r="C319" s="20">
        <f>IF($B319="","",IFERROR(INDEX(Parc!$B$2:$B$301,MATCH($B319,Parc!$A$2:$A$301,0)),"Réf. inconnue"))</f>
      </c>
      <c r="D319" s="9"/>
      <c r="E319" s="9"/>
      <c r="F319" s="9"/>
      <c r="G319" s="9"/>
      <c r="H319" s="9"/>
      <c r="I319" s="24"/>
      <c r="J319" s="9"/>
      <c r="K319" s="9"/>
      <c r="L319" s="20">
        <f>IF(AND(ISNUMBER($A319),$B319&lt;&gt;"",$D319&lt;&gt;"Examen partiel (ne relance pas)"),IF($A319&lt;=TODAY(),$A319,0),0)</f>
      </c>
      <c r="M319" s="20">
        <f>IF($L319=0,"",$B319&amp;"|"&amp;$L319)</f>
      </c>
    </row>
    <row r="320" spans="1:13" x14ac:dyDescent="0.25">
      <c r="A320" s="24"/>
      <c r="B320" s="9"/>
      <c r="C320" s="20">
        <f>IF($B320="","",IFERROR(INDEX(Parc!$B$2:$B$301,MATCH($B320,Parc!$A$2:$A$301,0)),"Réf. inconnue"))</f>
      </c>
      <c r="D320" s="9"/>
      <c r="E320" s="9"/>
      <c r="F320" s="9"/>
      <c r="G320" s="9"/>
      <c r="H320" s="9"/>
      <c r="I320" s="24"/>
      <c r="J320" s="9"/>
      <c r="K320" s="9"/>
      <c r="L320" s="20">
        <f>IF(AND(ISNUMBER($A320),$B320&lt;&gt;"",$D320&lt;&gt;"Examen partiel (ne relance pas)"),IF($A320&lt;=TODAY(),$A320,0),0)</f>
      </c>
      <c r="M320" s="20">
        <f>IF($L320=0,"",$B320&amp;"|"&amp;$L320)</f>
      </c>
    </row>
    <row r="321" spans="1:13" x14ac:dyDescent="0.25">
      <c r="A321" s="24"/>
      <c r="B321" s="9"/>
      <c r="C321" s="20">
        <f>IF($B321="","",IFERROR(INDEX(Parc!$B$2:$B$301,MATCH($B321,Parc!$A$2:$A$301,0)),"Réf. inconnue"))</f>
      </c>
      <c r="D321" s="9"/>
      <c r="E321" s="9"/>
      <c r="F321" s="9"/>
      <c r="G321" s="9"/>
      <c r="H321" s="9"/>
      <c r="I321" s="24"/>
      <c r="J321" s="9"/>
      <c r="K321" s="9"/>
      <c r="L321" s="20">
        <f>IF(AND(ISNUMBER($A321),$B321&lt;&gt;"",$D321&lt;&gt;"Examen partiel (ne relance pas)"),IF($A321&lt;=TODAY(),$A321,0),0)</f>
      </c>
      <c r="M321" s="20">
        <f>IF($L321=0,"",$B321&amp;"|"&amp;$L321)</f>
      </c>
    </row>
    <row r="322" spans="1:13" x14ac:dyDescent="0.25">
      <c r="A322" s="24"/>
      <c r="B322" s="9"/>
      <c r="C322" s="20">
        <f>IF($B322="","",IFERROR(INDEX(Parc!$B$2:$B$301,MATCH($B322,Parc!$A$2:$A$301,0)),"Réf. inconnue"))</f>
      </c>
      <c r="D322" s="9"/>
      <c r="E322" s="9"/>
      <c r="F322" s="9"/>
      <c r="G322" s="9"/>
      <c r="H322" s="9"/>
      <c r="I322" s="24"/>
      <c r="J322" s="9"/>
      <c r="K322" s="9"/>
      <c r="L322" s="20">
        <f>IF(AND(ISNUMBER($A322),$B322&lt;&gt;"",$D322&lt;&gt;"Examen partiel (ne relance pas)"),IF($A322&lt;=TODAY(),$A322,0),0)</f>
      </c>
      <c r="M322" s="20">
        <f>IF($L322=0,"",$B322&amp;"|"&amp;$L322)</f>
      </c>
    </row>
    <row r="323" spans="1:13" x14ac:dyDescent="0.25">
      <c r="A323" s="24"/>
      <c r="B323" s="9"/>
      <c r="C323" s="20">
        <f>IF($B323="","",IFERROR(INDEX(Parc!$B$2:$B$301,MATCH($B323,Parc!$A$2:$A$301,0)),"Réf. inconnue"))</f>
      </c>
      <c r="D323" s="9"/>
      <c r="E323" s="9"/>
      <c r="F323" s="9"/>
      <c r="G323" s="9"/>
      <c r="H323" s="9"/>
      <c r="I323" s="24"/>
      <c r="J323" s="9"/>
      <c r="K323" s="9"/>
      <c r="L323" s="20">
        <f>IF(AND(ISNUMBER($A323),$B323&lt;&gt;"",$D323&lt;&gt;"Examen partiel (ne relance pas)"),IF($A323&lt;=TODAY(),$A323,0),0)</f>
      </c>
      <c r="M323" s="20">
        <f>IF($L323=0,"",$B323&amp;"|"&amp;$L323)</f>
      </c>
    </row>
    <row r="324" spans="1:13" x14ac:dyDescent="0.25">
      <c r="A324" s="24"/>
      <c r="B324" s="9"/>
      <c r="C324" s="20">
        <f>IF($B324="","",IFERROR(INDEX(Parc!$B$2:$B$301,MATCH($B324,Parc!$A$2:$A$301,0)),"Réf. inconnue"))</f>
      </c>
      <c r="D324" s="9"/>
      <c r="E324" s="9"/>
      <c r="F324" s="9"/>
      <c r="G324" s="9"/>
      <c r="H324" s="9"/>
      <c r="I324" s="24"/>
      <c r="J324" s="9"/>
      <c r="K324" s="9"/>
      <c r="L324" s="20">
        <f>IF(AND(ISNUMBER($A324),$B324&lt;&gt;"",$D324&lt;&gt;"Examen partiel (ne relance pas)"),IF($A324&lt;=TODAY(),$A324,0),0)</f>
      </c>
      <c r="M324" s="20">
        <f>IF($L324=0,"",$B324&amp;"|"&amp;$L324)</f>
      </c>
    </row>
    <row r="325" spans="1:13" x14ac:dyDescent="0.25">
      <c r="A325" s="24"/>
      <c r="B325" s="9"/>
      <c r="C325" s="20">
        <f>IF($B325="","",IFERROR(INDEX(Parc!$B$2:$B$301,MATCH($B325,Parc!$A$2:$A$301,0)),"Réf. inconnue"))</f>
      </c>
      <c r="D325" s="9"/>
      <c r="E325" s="9"/>
      <c r="F325" s="9"/>
      <c r="G325" s="9"/>
      <c r="H325" s="9"/>
      <c r="I325" s="24"/>
      <c r="J325" s="9"/>
      <c r="K325" s="9"/>
      <c r="L325" s="20">
        <f>IF(AND(ISNUMBER($A325),$B325&lt;&gt;"",$D325&lt;&gt;"Examen partiel (ne relance pas)"),IF($A325&lt;=TODAY(),$A325,0),0)</f>
      </c>
      <c r="M325" s="20">
        <f>IF($L325=0,"",$B325&amp;"|"&amp;$L325)</f>
      </c>
    </row>
    <row r="326" spans="1:13" x14ac:dyDescent="0.25">
      <c r="A326" s="24"/>
      <c r="B326" s="9"/>
      <c r="C326" s="20">
        <f>IF($B326="","",IFERROR(INDEX(Parc!$B$2:$B$301,MATCH($B326,Parc!$A$2:$A$301,0)),"Réf. inconnue"))</f>
      </c>
      <c r="D326" s="9"/>
      <c r="E326" s="9"/>
      <c r="F326" s="9"/>
      <c r="G326" s="9"/>
      <c r="H326" s="9"/>
      <c r="I326" s="24"/>
      <c r="J326" s="9"/>
      <c r="K326" s="9"/>
      <c r="L326" s="20">
        <f>IF(AND(ISNUMBER($A326),$B326&lt;&gt;"",$D326&lt;&gt;"Examen partiel (ne relance pas)"),IF($A326&lt;=TODAY(),$A326,0),0)</f>
      </c>
      <c r="M326" s="20">
        <f>IF($L326=0,"",$B326&amp;"|"&amp;$L326)</f>
      </c>
    </row>
    <row r="327" spans="1:13" x14ac:dyDescent="0.25">
      <c r="A327" s="24"/>
      <c r="B327" s="9"/>
      <c r="C327" s="20">
        <f>IF($B327="","",IFERROR(INDEX(Parc!$B$2:$B$301,MATCH($B327,Parc!$A$2:$A$301,0)),"Réf. inconnue"))</f>
      </c>
      <c r="D327" s="9"/>
      <c r="E327" s="9"/>
      <c r="F327" s="9"/>
      <c r="G327" s="9"/>
      <c r="H327" s="9"/>
      <c r="I327" s="24"/>
      <c r="J327" s="9"/>
      <c r="K327" s="9"/>
      <c r="L327" s="20">
        <f>IF(AND(ISNUMBER($A327),$B327&lt;&gt;"",$D327&lt;&gt;"Examen partiel (ne relance pas)"),IF($A327&lt;=TODAY(),$A327,0),0)</f>
      </c>
      <c r="M327" s="20">
        <f>IF($L327=0,"",$B327&amp;"|"&amp;$L327)</f>
      </c>
    </row>
    <row r="328" spans="1:13" x14ac:dyDescent="0.25">
      <c r="A328" s="24"/>
      <c r="B328" s="9"/>
      <c r="C328" s="20">
        <f>IF($B328="","",IFERROR(INDEX(Parc!$B$2:$B$301,MATCH($B328,Parc!$A$2:$A$301,0)),"Réf. inconnue"))</f>
      </c>
      <c r="D328" s="9"/>
      <c r="E328" s="9"/>
      <c r="F328" s="9"/>
      <c r="G328" s="9"/>
      <c r="H328" s="9"/>
      <c r="I328" s="24"/>
      <c r="J328" s="9"/>
      <c r="K328" s="9"/>
      <c r="L328" s="20">
        <f>IF(AND(ISNUMBER($A328),$B328&lt;&gt;"",$D328&lt;&gt;"Examen partiel (ne relance pas)"),IF($A328&lt;=TODAY(),$A328,0),0)</f>
      </c>
      <c r="M328" s="20">
        <f>IF($L328=0,"",$B328&amp;"|"&amp;$L328)</f>
      </c>
    </row>
    <row r="329" spans="1:13" x14ac:dyDescent="0.25">
      <c r="A329" s="24"/>
      <c r="B329" s="9"/>
      <c r="C329" s="20">
        <f>IF($B329="","",IFERROR(INDEX(Parc!$B$2:$B$301,MATCH($B329,Parc!$A$2:$A$301,0)),"Réf. inconnue"))</f>
      </c>
      <c r="D329" s="9"/>
      <c r="E329" s="9"/>
      <c r="F329" s="9"/>
      <c r="G329" s="9"/>
      <c r="H329" s="9"/>
      <c r="I329" s="24"/>
      <c r="J329" s="9"/>
      <c r="K329" s="9"/>
      <c r="L329" s="20">
        <f>IF(AND(ISNUMBER($A329),$B329&lt;&gt;"",$D329&lt;&gt;"Examen partiel (ne relance pas)"),IF($A329&lt;=TODAY(),$A329,0),0)</f>
      </c>
      <c r="M329" s="20">
        <f>IF($L329=0,"",$B329&amp;"|"&amp;$L329)</f>
      </c>
    </row>
    <row r="330" spans="1:13" x14ac:dyDescent="0.25">
      <c r="A330" s="24"/>
      <c r="B330" s="9"/>
      <c r="C330" s="20">
        <f>IF($B330="","",IFERROR(INDEX(Parc!$B$2:$B$301,MATCH($B330,Parc!$A$2:$A$301,0)),"Réf. inconnue"))</f>
      </c>
      <c r="D330" s="9"/>
      <c r="E330" s="9"/>
      <c r="F330" s="9"/>
      <c r="G330" s="9"/>
      <c r="H330" s="9"/>
      <c r="I330" s="24"/>
      <c r="J330" s="9"/>
      <c r="K330" s="9"/>
      <c r="L330" s="20">
        <f>IF(AND(ISNUMBER($A330),$B330&lt;&gt;"",$D330&lt;&gt;"Examen partiel (ne relance pas)"),IF($A330&lt;=TODAY(),$A330,0),0)</f>
      </c>
      <c r="M330" s="20">
        <f>IF($L330=0,"",$B330&amp;"|"&amp;$L330)</f>
      </c>
    </row>
    <row r="331" spans="1:13" x14ac:dyDescent="0.25">
      <c r="A331" s="24"/>
      <c r="B331" s="9"/>
      <c r="C331" s="20">
        <f>IF($B331="","",IFERROR(INDEX(Parc!$B$2:$B$301,MATCH($B331,Parc!$A$2:$A$301,0)),"Réf. inconnue"))</f>
      </c>
      <c r="D331" s="9"/>
      <c r="E331" s="9"/>
      <c r="F331" s="9"/>
      <c r="G331" s="9"/>
      <c r="H331" s="9"/>
      <c r="I331" s="24"/>
      <c r="J331" s="9"/>
      <c r="K331" s="9"/>
      <c r="L331" s="20">
        <f>IF(AND(ISNUMBER($A331),$B331&lt;&gt;"",$D331&lt;&gt;"Examen partiel (ne relance pas)"),IF($A331&lt;=TODAY(),$A331,0),0)</f>
      </c>
      <c r="M331" s="20">
        <f>IF($L331=0,"",$B331&amp;"|"&amp;$L331)</f>
      </c>
    </row>
    <row r="332" spans="1:13" x14ac:dyDescent="0.25">
      <c r="A332" s="24"/>
      <c r="B332" s="9"/>
      <c r="C332" s="20">
        <f>IF($B332="","",IFERROR(INDEX(Parc!$B$2:$B$301,MATCH($B332,Parc!$A$2:$A$301,0)),"Réf. inconnue"))</f>
      </c>
      <c r="D332" s="9"/>
      <c r="E332" s="9"/>
      <c r="F332" s="9"/>
      <c r="G332" s="9"/>
      <c r="H332" s="9"/>
      <c r="I332" s="24"/>
      <c r="J332" s="9"/>
      <c r="K332" s="9"/>
      <c r="L332" s="20">
        <f>IF(AND(ISNUMBER($A332),$B332&lt;&gt;"",$D332&lt;&gt;"Examen partiel (ne relance pas)"),IF($A332&lt;=TODAY(),$A332,0),0)</f>
      </c>
      <c r="M332" s="20">
        <f>IF($L332=0,"",$B332&amp;"|"&amp;$L332)</f>
      </c>
    </row>
    <row r="333" spans="1:13" x14ac:dyDescent="0.25">
      <c r="A333" s="24"/>
      <c r="B333" s="9"/>
      <c r="C333" s="20">
        <f>IF($B333="","",IFERROR(INDEX(Parc!$B$2:$B$301,MATCH($B333,Parc!$A$2:$A$301,0)),"Réf. inconnue"))</f>
      </c>
      <c r="D333" s="9"/>
      <c r="E333" s="9"/>
      <c r="F333" s="9"/>
      <c r="G333" s="9"/>
      <c r="H333" s="9"/>
      <c r="I333" s="24"/>
      <c r="J333" s="9"/>
      <c r="K333" s="9"/>
      <c r="L333" s="20">
        <f>IF(AND(ISNUMBER($A333),$B333&lt;&gt;"",$D333&lt;&gt;"Examen partiel (ne relance pas)"),IF($A333&lt;=TODAY(),$A333,0),0)</f>
      </c>
      <c r="M333" s="20">
        <f>IF($L333=0,"",$B333&amp;"|"&amp;$L333)</f>
      </c>
    </row>
    <row r="334" spans="1:13" x14ac:dyDescent="0.25">
      <c r="A334" s="24"/>
      <c r="B334" s="9"/>
      <c r="C334" s="20">
        <f>IF($B334="","",IFERROR(INDEX(Parc!$B$2:$B$301,MATCH($B334,Parc!$A$2:$A$301,0)),"Réf. inconnue"))</f>
      </c>
      <c r="D334" s="9"/>
      <c r="E334" s="9"/>
      <c r="F334" s="9"/>
      <c r="G334" s="9"/>
      <c r="H334" s="9"/>
      <c r="I334" s="24"/>
      <c r="J334" s="9"/>
      <c r="K334" s="9"/>
      <c r="L334" s="20">
        <f>IF(AND(ISNUMBER($A334),$B334&lt;&gt;"",$D334&lt;&gt;"Examen partiel (ne relance pas)"),IF($A334&lt;=TODAY(),$A334,0),0)</f>
      </c>
      <c r="M334" s="20">
        <f>IF($L334=0,"",$B334&amp;"|"&amp;$L334)</f>
      </c>
    </row>
    <row r="335" spans="1:13" x14ac:dyDescent="0.25">
      <c r="A335" s="24"/>
      <c r="B335" s="9"/>
      <c r="C335" s="20">
        <f>IF($B335="","",IFERROR(INDEX(Parc!$B$2:$B$301,MATCH($B335,Parc!$A$2:$A$301,0)),"Réf. inconnue"))</f>
      </c>
      <c r="D335" s="9"/>
      <c r="E335" s="9"/>
      <c r="F335" s="9"/>
      <c r="G335" s="9"/>
      <c r="H335" s="9"/>
      <c r="I335" s="24"/>
      <c r="J335" s="9"/>
      <c r="K335" s="9"/>
      <c r="L335" s="20">
        <f>IF(AND(ISNUMBER($A335),$B335&lt;&gt;"",$D335&lt;&gt;"Examen partiel (ne relance pas)"),IF($A335&lt;=TODAY(),$A335,0),0)</f>
      </c>
      <c r="M335" s="20">
        <f>IF($L335=0,"",$B335&amp;"|"&amp;$L335)</f>
      </c>
    </row>
    <row r="336" spans="1:13" x14ac:dyDescent="0.25">
      <c r="A336" s="24"/>
      <c r="B336" s="9"/>
      <c r="C336" s="20">
        <f>IF($B336="","",IFERROR(INDEX(Parc!$B$2:$B$301,MATCH($B336,Parc!$A$2:$A$301,0)),"Réf. inconnue"))</f>
      </c>
      <c r="D336" s="9"/>
      <c r="E336" s="9"/>
      <c r="F336" s="9"/>
      <c r="G336" s="9"/>
      <c r="H336" s="9"/>
      <c r="I336" s="24"/>
      <c r="J336" s="9"/>
      <c r="K336" s="9"/>
      <c r="L336" s="20">
        <f>IF(AND(ISNUMBER($A336),$B336&lt;&gt;"",$D336&lt;&gt;"Examen partiel (ne relance pas)"),IF($A336&lt;=TODAY(),$A336,0),0)</f>
      </c>
      <c r="M336" s="20">
        <f>IF($L336=0,"",$B336&amp;"|"&amp;$L336)</f>
      </c>
    </row>
    <row r="337" spans="1:13" x14ac:dyDescent="0.25">
      <c r="A337" s="24"/>
      <c r="B337" s="9"/>
      <c r="C337" s="20">
        <f>IF($B337="","",IFERROR(INDEX(Parc!$B$2:$B$301,MATCH($B337,Parc!$A$2:$A$301,0)),"Réf. inconnue"))</f>
      </c>
      <c r="D337" s="9"/>
      <c r="E337" s="9"/>
      <c r="F337" s="9"/>
      <c r="G337" s="9"/>
      <c r="H337" s="9"/>
      <c r="I337" s="24"/>
      <c r="J337" s="9"/>
      <c r="K337" s="9"/>
      <c r="L337" s="20">
        <f>IF(AND(ISNUMBER($A337),$B337&lt;&gt;"",$D337&lt;&gt;"Examen partiel (ne relance pas)"),IF($A337&lt;=TODAY(),$A337,0),0)</f>
      </c>
      <c r="M337" s="20">
        <f>IF($L337=0,"",$B337&amp;"|"&amp;$L337)</f>
      </c>
    </row>
    <row r="338" spans="1:13" x14ac:dyDescent="0.25">
      <c r="A338" s="24"/>
      <c r="B338" s="9"/>
      <c r="C338" s="20">
        <f>IF($B338="","",IFERROR(INDEX(Parc!$B$2:$B$301,MATCH($B338,Parc!$A$2:$A$301,0)),"Réf. inconnue"))</f>
      </c>
      <c r="D338" s="9"/>
      <c r="E338" s="9"/>
      <c r="F338" s="9"/>
      <c r="G338" s="9"/>
      <c r="H338" s="9"/>
      <c r="I338" s="24"/>
      <c r="J338" s="9"/>
      <c r="K338" s="9"/>
      <c r="L338" s="20">
        <f>IF(AND(ISNUMBER($A338),$B338&lt;&gt;"",$D338&lt;&gt;"Examen partiel (ne relance pas)"),IF($A338&lt;=TODAY(),$A338,0),0)</f>
      </c>
      <c r="M338" s="20">
        <f>IF($L338=0,"",$B338&amp;"|"&amp;$L338)</f>
      </c>
    </row>
    <row r="339" spans="1:13" x14ac:dyDescent="0.25">
      <c r="A339" s="24"/>
      <c r="B339" s="9"/>
      <c r="C339" s="20">
        <f>IF($B339="","",IFERROR(INDEX(Parc!$B$2:$B$301,MATCH($B339,Parc!$A$2:$A$301,0)),"Réf. inconnue"))</f>
      </c>
      <c r="D339" s="9"/>
      <c r="E339" s="9"/>
      <c r="F339" s="9"/>
      <c r="G339" s="9"/>
      <c r="H339" s="9"/>
      <c r="I339" s="24"/>
      <c r="J339" s="9"/>
      <c r="K339" s="9"/>
      <c r="L339" s="20">
        <f>IF(AND(ISNUMBER($A339),$B339&lt;&gt;"",$D339&lt;&gt;"Examen partiel (ne relance pas)"),IF($A339&lt;=TODAY(),$A339,0),0)</f>
      </c>
      <c r="M339" s="20">
        <f>IF($L339=0,"",$B339&amp;"|"&amp;$L339)</f>
      </c>
    </row>
    <row r="340" spans="1:13" x14ac:dyDescent="0.25">
      <c r="A340" s="24"/>
      <c r="B340" s="9"/>
      <c r="C340" s="20">
        <f>IF($B340="","",IFERROR(INDEX(Parc!$B$2:$B$301,MATCH($B340,Parc!$A$2:$A$301,0)),"Réf. inconnue"))</f>
      </c>
      <c r="D340" s="9"/>
      <c r="E340" s="9"/>
      <c r="F340" s="9"/>
      <c r="G340" s="9"/>
      <c r="H340" s="9"/>
      <c r="I340" s="24"/>
      <c r="J340" s="9"/>
      <c r="K340" s="9"/>
      <c r="L340" s="20">
        <f>IF(AND(ISNUMBER($A340),$B340&lt;&gt;"",$D340&lt;&gt;"Examen partiel (ne relance pas)"),IF($A340&lt;=TODAY(),$A340,0),0)</f>
      </c>
      <c r="M340" s="20">
        <f>IF($L340=0,"",$B340&amp;"|"&amp;$L340)</f>
      </c>
    </row>
    <row r="341" spans="1:13" x14ac:dyDescent="0.25">
      <c r="A341" s="24"/>
      <c r="B341" s="9"/>
      <c r="C341" s="20">
        <f>IF($B341="","",IFERROR(INDEX(Parc!$B$2:$B$301,MATCH($B341,Parc!$A$2:$A$301,0)),"Réf. inconnue"))</f>
      </c>
      <c r="D341" s="9"/>
      <c r="E341" s="9"/>
      <c r="F341" s="9"/>
      <c r="G341" s="9"/>
      <c r="H341" s="9"/>
      <c r="I341" s="24"/>
      <c r="J341" s="9"/>
      <c r="K341" s="9"/>
      <c r="L341" s="20">
        <f>IF(AND(ISNUMBER($A341),$B341&lt;&gt;"",$D341&lt;&gt;"Examen partiel (ne relance pas)"),IF($A341&lt;=TODAY(),$A341,0),0)</f>
      </c>
      <c r="M341" s="20">
        <f>IF($L341=0,"",$B341&amp;"|"&amp;$L341)</f>
      </c>
    </row>
    <row r="342" spans="1:13" x14ac:dyDescent="0.25">
      <c r="A342" s="24"/>
      <c r="B342" s="9"/>
      <c r="C342" s="20">
        <f>IF($B342="","",IFERROR(INDEX(Parc!$B$2:$B$301,MATCH($B342,Parc!$A$2:$A$301,0)),"Réf. inconnue"))</f>
      </c>
      <c r="D342" s="9"/>
      <c r="E342" s="9"/>
      <c r="F342" s="9"/>
      <c r="G342" s="9"/>
      <c r="H342" s="9"/>
      <c r="I342" s="24"/>
      <c r="J342" s="9"/>
      <c r="K342" s="9"/>
      <c r="L342" s="20">
        <f>IF(AND(ISNUMBER($A342),$B342&lt;&gt;"",$D342&lt;&gt;"Examen partiel (ne relance pas)"),IF($A342&lt;=TODAY(),$A342,0),0)</f>
      </c>
      <c r="M342" s="20">
        <f>IF($L342=0,"",$B342&amp;"|"&amp;$L342)</f>
      </c>
    </row>
    <row r="343" spans="1:13" x14ac:dyDescent="0.25">
      <c r="A343" s="24"/>
      <c r="B343" s="9"/>
      <c r="C343" s="20">
        <f>IF($B343="","",IFERROR(INDEX(Parc!$B$2:$B$301,MATCH($B343,Parc!$A$2:$A$301,0)),"Réf. inconnue"))</f>
      </c>
      <c r="D343" s="9"/>
      <c r="E343" s="9"/>
      <c r="F343" s="9"/>
      <c r="G343" s="9"/>
      <c r="H343" s="9"/>
      <c r="I343" s="24"/>
      <c r="J343" s="9"/>
      <c r="K343" s="9"/>
      <c r="L343" s="20">
        <f>IF(AND(ISNUMBER($A343),$B343&lt;&gt;"",$D343&lt;&gt;"Examen partiel (ne relance pas)"),IF($A343&lt;=TODAY(),$A343,0),0)</f>
      </c>
      <c r="M343" s="20">
        <f>IF($L343=0,"",$B343&amp;"|"&amp;$L343)</f>
      </c>
    </row>
    <row r="344" spans="1:13" x14ac:dyDescent="0.25">
      <c r="A344" s="24"/>
      <c r="B344" s="9"/>
      <c r="C344" s="20">
        <f>IF($B344="","",IFERROR(INDEX(Parc!$B$2:$B$301,MATCH($B344,Parc!$A$2:$A$301,0)),"Réf. inconnue"))</f>
      </c>
      <c r="D344" s="9"/>
      <c r="E344" s="9"/>
      <c r="F344" s="9"/>
      <c r="G344" s="9"/>
      <c r="H344" s="9"/>
      <c r="I344" s="24"/>
      <c r="J344" s="9"/>
      <c r="K344" s="9"/>
      <c r="L344" s="20">
        <f>IF(AND(ISNUMBER($A344),$B344&lt;&gt;"",$D344&lt;&gt;"Examen partiel (ne relance pas)"),IF($A344&lt;=TODAY(),$A344,0),0)</f>
      </c>
      <c r="M344" s="20">
        <f>IF($L344=0,"",$B344&amp;"|"&amp;$L344)</f>
      </c>
    </row>
    <row r="345" spans="1:13" x14ac:dyDescent="0.25">
      <c r="A345" s="24"/>
      <c r="B345" s="9"/>
      <c r="C345" s="20">
        <f>IF($B345="","",IFERROR(INDEX(Parc!$B$2:$B$301,MATCH($B345,Parc!$A$2:$A$301,0)),"Réf. inconnue"))</f>
      </c>
      <c r="D345" s="9"/>
      <c r="E345" s="9"/>
      <c r="F345" s="9"/>
      <c r="G345" s="9"/>
      <c r="H345" s="9"/>
      <c r="I345" s="24"/>
      <c r="J345" s="9"/>
      <c r="K345" s="9"/>
      <c r="L345" s="20">
        <f>IF(AND(ISNUMBER($A345),$B345&lt;&gt;"",$D345&lt;&gt;"Examen partiel (ne relance pas)"),IF($A345&lt;=TODAY(),$A345,0),0)</f>
      </c>
      <c r="M345" s="20">
        <f>IF($L345=0,"",$B345&amp;"|"&amp;$L345)</f>
      </c>
    </row>
    <row r="346" spans="1:13" x14ac:dyDescent="0.25">
      <c r="A346" s="24"/>
      <c r="B346" s="9"/>
      <c r="C346" s="20">
        <f>IF($B346="","",IFERROR(INDEX(Parc!$B$2:$B$301,MATCH($B346,Parc!$A$2:$A$301,0)),"Réf. inconnue"))</f>
      </c>
      <c r="D346" s="9"/>
      <c r="E346" s="9"/>
      <c r="F346" s="9"/>
      <c r="G346" s="9"/>
      <c r="H346" s="9"/>
      <c r="I346" s="24"/>
      <c r="J346" s="9"/>
      <c r="K346" s="9"/>
      <c r="L346" s="20">
        <f>IF(AND(ISNUMBER($A346),$B346&lt;&gt;"",$D346&lt;&gt;"Examen partiel (ne relance pas)"),IF($A346&lt;=TODAY(),$A346,0),0)</f>
      </c>
      <c r="M346" s="20">
        <f>IF($L346=0,"",$B346&amp;"|"&amp;$L346)</f>
      </c>
    </row>
    <row r="347" spans="1:13" x14ac:dyDescent="0.25">
      <c r="A347" s="24"/>
      <c r="B347" s="9"/>
      <c r="C347" s="20">
        <f>IF($B347="","",IFERROR(INDEX(Parc!$B$2:$B$301,MATCH($B347,Parc!$A$2:$A$301,0)),"Réf. inconnue"))</f>
      </c>
      <c r="D347" s="9"/>
      <c r="E347" s="9"/>
      <c r="F347" s="9"/>
      <c r="G347" s="9"/>
      <c r="H347" s="9"/>
      <c r="I347" s="24"/>
      <c r="J347" s="9"/>
      <c r="K347" s="9"/>
      <c r="L347" s="20">
        <f>IF(AND(ISNUMBER($A347),$B347&lt;&gt;"",$D347&lt;&gt;"Examen partiel (ne relance pas)"),IF($A347&lt;=TODAY(),$A347,0),0)</f>
      </c>
      <c r="M347" s="20">
        <f>IF($L347=0,"",$B347&amp;"|"&amp;$L347)</f>
      </c>
    </row>
    <row r="348" spans="1:13" x14ac:dyDescent="0.25">
      <c r="A348" s="24"/>
      <c r="B348" s="9"/>
      <c r="C348" s="20">
        <f>IF($B348="","",IFERROR(INDEX(Parc!$B$2:$B$301,MATCH($B348,Parc!$A$2:$A$301,0)),"Réf. inconnue"))</f>
      </c>
      <c r="D348" s="9"/>
      <c r="E348" s="9"/>
      <c r="F348" s="9"/>
      <c r="G348" s="9"/>
      <c r="H348" s="9"/>
      <c r="I348" s="24"/>
      <c r="J348" s="9"/>
      <c r="K348" s="9"/>
      <c r="L348" s="20">
        <f>IF(AND(ISNUMBER($A348),$B348&lt;&gt;"",$D348&lt;&gt;"Examen partiel (ne relance pas)"),IF($A348&lt;=TODAY(),$A348,0),0)</f>
      </c>
      <c r="M348" s="20">
        <f>IF($L348=0,"",$B348&amp;"|"&amp;$L348)</f>
      </c>
    </row>
    <row r="349" spans="1:13" x14ac:dyDescent="0.25">
      <c r="A349" s="24"/>
      <c r="B349" s="9"/>
      <c r="C349" s="20">
        <f>IF($B349="","",IFERROR(INDEX(Parc!$B$2:$B$301,MATCH($B349,Parc!$A$2:$A$301,0)),"Réf. inconnue"))</f>
      </c>
      <c r="D349" s="9"/>
      <c r="E349" s="9"/>
      <c r="F349" s="9"/>
      <c r="G349" s="9"/>
      <c r="H349" s="9"/>
      <c r="I349" s="24"/>
      <c r="J349" s="9"/>
      <c r="K349" s="9"/>
      <c r="L349" s="20">
        <f>IF(AND(ISNUMBER($A349),$B349&lt;&gt;"",$D349&lt;&gt;"Examen partiel (ne relance pas)"),IF($A349&lt;=TODAY(),$A349,0),0)</f>
      </c>
      <c r="M349" s="20">
        <f>IF($L349=0,"",$B349&amp;"|"&amp;$L349)</f>
      </c>
    </row>
    <row r="350" spans="1:13" x14ac:dyDescent="0.25">
      <c r="A350" s="24"/>
      <c r="B350" s="9"/>
      <c r="C350" s="20">
        <f>IF($B350="","",IFERROR(INDEX(Parc!$B$2:$B$301,MATCH($B350,Parc!$A$2:$A$301,0)),"Réf. inconnue"))</f>
      </c>
      <c r="D350" s="9"/>
      <c r="E350" s="9"/>
      <c r="F350" s="9"/>
      <c r="G350" s="9"/>
      <c r="H350" s="9"/>
      <c r="I350" s="24"/>
      <c r="J350" s="9"/>
      <c r="K350" s="9"/>
      <c r="L350" s="20">
        <f>IF(AND(ISNUMBER($A350),$B350&lt;&gt;"",$D350&lt;&gt;"Examen partiel (ne relance pas)"),IF($A350&lt;=TODAY(),$A350,0),0)</f>
      </c>
      <c r="M350" s="20">
        <f>IF($L350=0,"",$B350&amp;"|"&amp;$L350)</f>
      </c>
    </row>
    <row r="351" spans="1:13" x14ac:dyDescent="0.25">
      <c r="A351" s="24"/>
      <c r="B351" s="9"/>
      <c r="C351" s="20">
        <f>IF($B351="","",IFERROR(INDEX(Parc!$B$2:$B$301,MATCH($B351,Parc!$A$2:$A$301,0)),"Réf. inconnue"))</f>
      </c>
      <c r="D351" s="9"/>
      <c r="E351" s="9"/>
      <c r="F351" s="9"/>
      <c r="G351" s="9"/>
      <c r="H351" s="9"/>
      <c r="I351" s="24"/>
      <c r="J351" s="9"/>
      <c r="K351" s="9"/>
      <c r="L351" s="20">
        <f>IF(AND(ISNUMBER($A351),$B351&lt;&gt;"",$D351&lt;&gt;"Examen partiel (ne relance pas)"),IF($A351&lt;=TODAY(),$A351,0),0)</f>
      </c>
      <c r="M351" s="20">
        <f>IF($L351=0,"",$B351&amp;"|"&amp;$L351)</f>
      </c>
    </row>
    <row r="352" spans="1:13" x14ac:dyDescent="0.25">
      <c r="A352" s="24"/>
      <c r="B352" s="9"/>
      <c r="C352" s="20">
        <f>IF($B352="","",IFERROR(INDEX(Parc!$B$2:$B$301,MATCH($B352,Parc!$A$2:$A$301,0)),"Réf. inconnue"))</f>
      </c>
      <c r="D352" s="9"/>
      <c r="E352" s="9"/>
      <c r="F352" s="9"/>
      <c r="G352" s="9"/>
      <c r="H352" s="9"/>
      <c r="I352" s="24"/>
      <c r="J352" s="9"/>
      <c r="K352" s="9"/>
      <c r="L352" s="20">
        <f>IF(AND(ISNUMBER($A352),$B352&lt;&gt;"",$D352&lt;&gt;"Examen partiel (ne relance pas)"),IF($A352&lt;=TODAY(),$A352,0),0)</f>
      </c>
      <c r="M352" s="20">
        <f>IF($L352=0,"",$B352&amp;"|"&amp;$L352)</f>
      </c>
    </row>
    <row r="353" spans="1:13" x14ac:dyDescent="0.25">
      <c r="A353" s="24"/>
      <c r="B353" s="9"/>
      <c r="C353" s="20">
        <f>IF($B353="","",IFERROR(INDEX(Parc!$B$2:$B$301,MATCH($B353,Parc!$A$2:$A$301,0)),"Réf. inconnue"))</f>
      </c>
      <c r="D353" s="9"/>
      <c r="E353" s="9"/>
      <c r="F353" s="9"/>
      <c r="G353" s="9"/>
      <c r="H353" s="9"/>
      <c r="I353" s="24"/>
      <c r="J353" s="9"/>
      <c r="K353" s="9"/>
      <c r="L353" s="20">
        <f>IF(AND(ISNUMBER($A353),$B353&lt;&gt;"",$D353&lt;&gt;"Examen partiel (ne relance pas)"),IF($A353&lt;=TODAY(),$A353,0),0)</f>
      </c>
      <c r="M353" s="20">
        <f>IF($L353=0,"",$B353&amp;"|"&amp;$L353)</f>
      </c>
    </row>
    <row r="354" spans="1:13" x14ac:dyDescent="0.25">
      <c r="A354" s="24"/>
      <c r="B354" s="9"/>
      <c r="C354" s="20">
        <f>IF($B354="","",IFERROR(INDEX(Parc!$B$2:$B$301,MATCH($B354,Parc!$A$2:$A$301,0)),"Réf. inconnue"))</f>
      </c>
      <c r="D354" s="9"/>
      <c r="E354" s="9"/>
      <c r="F354" s="9"/>
      <c r="G354" s="9"/>
      <c r="H354" s="9"/>
      <c r="I354" s="24"/>
      <c r="J354" s="9"/>
      <c r="K354" s="9"/>
      <c r="L354" s="20">
        <f>IF(AND(ISNUMBER($A354),$B354&lt;&gt;"",$D354&lt;&gt;"Examen partiel (ne relance pas)"),IF($A354&lt;=TODAY(),$A354,0),0)</f>
      </c>
      <c r="M354" s="20">
        <f>IF($L354=0,"",$B354&amp;"|"&amp;$L354)</f>
      </c>
    </row>
    <row r="355" spans="1:13" x14ac:dyDescent="0.25">
      <c r="A355" s="24"/>
      <c r="B355" s="9"/>
      <c r="C355" s="20">
        <f>IF($B355="","",IFERROR(INDEX(Parc!$B$2:$B$301,MATCH($B355,Parc!$A$2:$A$301,0)),"Réf. inconnue"))</f>
      </c>
      <c r="D355" s="9"/>
      <c r="E355" s="9"/>
      <c r="F355" s="9"/>
      <c r="G355" s="9"/>
      <c r="H355" s="9"/>
      <c r="I355" s="24"/>
      <c r="J355" s="9"/>
      <c r="K355" s="9"/>
      <c r="L355" s="20">
        <f>IF(AND(ISNUMBER($A355),$B355&lt;&gt;"",$D355&lt;&gt;"Examen partiel (ne relance pas)"),IF($A355&lt;=TODAY(),$A355,0),0)</f>
      </c>
      <c r="M355" s="20">
        <f>IF($L355=0,"",$B355&amp;"|"&amp;$L355)</f>
      </c>
    </row>
    <row r="356" spans="1:13" x14ac:dyDescent="0.25">
      <c r="A356" s="24"/>
      <c r="B356" s="9"/>
      <c r="C356" s="20">
        <f>IF($B356="","",IFERROR(INDEX(Parc!$B$2:$B$301,MATCH($B356,Parc!$A$2:$A$301,0)),"Réf. inconnue"))</f>
      </c>
      <c r="D356" s="9"/>
      <c r="E356" s="9"/>
      <c r="F356" s="9"/>
      <c r="G356" s="9"/>
      <c r="H356" s="9"/>
      <c r="I356" s="24"/>
      <c r="J356" s="9"/>
      <c r="K356" s="9"/>
      <c r="L356" s="20">
        <f>IF(AND(ISNUMBER($A356),$B356&lt;&gt;"",$D356&lt;&gt;"Examen partiel (ne relance pas)"),IF($A356&lt;=TODAY(),$A356,0),0)</f>
      </c>
      <c r="M356" s="20">
        <f>IF($L356=0,"",$B356&amp;"|"&amp;$L356)</f>
      </c>
    </row>
    <row r="357" spans="1:13" x14ac:dyDescent="0.25">
      <c r="A357" s="24"/>
      <c r="B357" s="9"/>
      <c r="C357" s="20">
        <f>IF($B357="","",IFERROR(INDEX(Parc!$B$2:$B$301,MATCH($B357,Parc!$A$2:$A$301,0)),"Réf. inconnue"))</f>
      </c>
      <c r="D357" s="9"/>
      <c r="E357" s="9"/>
      <c r="F357" s="9"/>
      <c r="G357" s="9"/>
      <c r="H357" s="9"/>
      <c r="I357" s="24"/>
      <c r="J357" s="9"/>
      <c r="K357" s="9"/>
      <c r="L357" s="20">
        <f>IF(AND(ISNUMBER($A357),$B357&lt;&gt;"",$D357&lt;&gt;"Examen partiel (ne relance pas)"),IF($A357&lt;=TODAY(),$A357,0),0)</f>
      </c>
      <c r="M357" s="20">
        <f>IF($L357=0,"",$B357&amp;"|"&amp;$L357)</f>
      </c>
    </row>
    <row r="358" spans="1:13" x14ac:dyDescent="0.25">
      <c r="A358" s="24"/>
      <c r="B358" s="9"/>
      <c r="C358" s="20">
        <f>IF($B358="","",IFERROR(INDEX(Parc!$B$2:$B$301,MATCH($B358,Parc!$A$2:$A$301,0)),"Réf. inconnue"))</f>
      </c>
      <c r="D358" s="9"/>
      <c r="E358" s="9"/>
      <c r="F358" s="9"/>
      <c r="G358" s="9"/>
      <c r="H358" s="9"/>
      <c r="I358" s="24"/>
      <c r="J358" s="9"/>
      <c r="K358" s="9"/>
      <c r="L358" s="20">
        <f>IF(AND(ISNUMBER($A358),$B358&lt;&gt;"",$D358&lt;&gt;"Examen partiel (ne relance pas)"),IF($A358&lt;=TODAY(),$A358,0),0)</f>
      </c>
      <c r="M358" s="20">
        <f>IF($L358=0,"",$B358&amp;"|"&amp;$L358)</f>
      </c>
    </row>
    <row r="359" spans="1:13" x14ac:dyDescent="0.25">
      <c r="A359" s="24"/>
      <c r="B359" s="9"/>
      <c r="C359" s="20">
        <f>IF($B359="","",IFERROR(INDEX(Parc!$B$2:$B$301,MATCH($B359,Parc!$A$2:$A$301,0)),"Réf. inconnue"))</f>
      </c>
      <c r="D359" s="9"/>
      <c r="E359" s="9"/>
      <c r="F359" s="9"/>
      <c r="G359" s="9"/>
      <c r="H359" s="9"/>
      <c r="I359" s="24"/>
      <c r="J359" s="9"/>
      <c r="K359" s="9"/>
      <c r="L359" s="20">
        <f>IF(AND(ISNUMBER($A359),$B359&lt;&gt;"",$D359&lt;&gt;"Examen partiel (ne relance pas)"),IF($A359&lt;=TODAY(),$A359,0),0)</f>
      </c>
      <c r="M359" s="20">
        <f>IF($L359=0,"",$B359&amp;"|"&amp;$L359)</f>
      </c>
    </row>
    <row r="360" spans="1:13" x14ac:dyDescent="0.25">
      <c r="A360" s="24"/>
      <c r="B360" s="9"/>
      <c r="C360" s="20">
        <f>IF($B360="","",IFERROR(INDEX(Parc!$B$2:$B$301,MATCH($B360,Parc!$A$2:$A$301,0)),"Réf. inconnue"))</f>
      </c>
      <c r="D360" s="9"/>
      <c r="E360" s="9"/>
      <c r="F360" s="9"/>
      <c r="G360" s="9"/>
      <c r="H360" s="9"/>
      <c r="I360" s="24"/>
      <c r="J360" s="9"/>
      <c r="K360" s="9"/>
      <c r="L360" s="20">
        <f>IF(AND(ISNUMBER($A360),$B360&lt;&gt;"",$D360&lt;&gt;"Examen partiel (ne relance pas)"),IF($A360&lt;=TODAY(),$A360,0),0)</f>
      </c>
      <c r="M360" s="20">
        <f>IF($L360=0,"",$B360&amp;"|"&amp;$L360)</f>
      </c>
    </row>
    <row r="361" spans="1:13" x14ac:dyDescent="0.25">
      <c r="A361" s="24"/>
      <c r="B361" s="9"/>
      <c r="C361" s="20">
        <f>IF($B361="","",IFERROR(INDEX(Parc!$B$2:$B$301,MATCH($B361,Parc!$A$2:$A$301,0)),"Réf. inconnue"))</f>
      </c>
      <c r="D361" s="9"/>
      <c r="E361" s="9"/>
      <c r="F361" s="9"/>
      <c r="G361" s="9"/>
      <c r="H361" s="9"/>
      <c r="I361" s="24"/>
      <c r="J361" s="9"/>
      <c r="K361" s="9"/>
      <c r="L361" s="20">
        <f>IF(AND(ISNUMBER($A361),$B361&lt;&gt;"",$D361&lt;&gt;"Examen partiel (ne relance pas)"),IF($A361&lt;=TODAY(),$A361,0),0)</f>
      </c>
      <c r="M361" s="20">
        <f>IF($L361=0,"",$B361&amp;"|"&amp;$L361)</f>
      </c>
    </row>
    <row r="362" spans="1:13" x14ac:dyDescent="0.25">
      <c r="A362" s="24"/>
      <c r="B362" s="9"/>
      <c r="C362" s="20">
        <f>IF($B362="","",IFERROR(INDEX(Parc!$B$2:$B$301,MATCH($B362,Parc!$A$2:$A$301,0)),"Réf. inconnue"))</f>
      </c>
      <c r="D362" s="9"/>
      <c r="E362" s="9"/>
      <c r="F362" s="9"/>
      <c r="G362" s="9"/>
      <c r="H362" s="9"/>
      <c r="I362" s="24"/>
      <c r="J362" s="9"/>
      <c r="K362" s="9"/>
      <c r="L362" s="20">
        <f>IF(AND(ISNUMBER($A362),$B362&lt;&gt;"",$D362&lt;&gt;"Examen partiel (ne relance pas)"),IF($A362&lt;=TODAY(),$A362,0),0)</f>
      </c>
      <c r="M362" s="20">
        <f>IF($L362=0,"",$B362&amp;"|"&amp;$L362)</f>
      </c>
    </row>
    <row r="363" spans="1:13" x14ac:dyDescent="0.25">
      <c r="A363" s="24"/>
      <c r="B363" s="9"/>
      <c r="C363" s="20">
        <f>IF($B363="","",IFERROR(INDEX(Parc!$B$2:$B$301,MATCH($B363,Parc!$A$2:$A$301,0)),"Réf. inconnue"))</f>
      </c>
      <c r="D363" s="9"/>
      <c r="E363" s="9"/>
      <c r="F363" s="9"/>
      <c r="G363" s="9"/>
      <c r="H363" s="9"/>
      <c r="I363" s="24"/>
      <c r="J363" s="9"/>
      <c r="K363" s="9"/>
      <c r="L363" s="20">
        <f>IF(AND(ISNUMBER($A363),$B363&lt;&gt;"",$D363&lt;&gt;"Examen partiel (ne relance pas)"),IF($A363&lt;=TODAY(),$A363,0),0)</f>
      </c>
      <c r="M363" s="20">
        <f>IF($L363=0,"",$B363&amp;"|"&amp;$L363)</f>
      </c>
    </row>
    <row r="364" spans="1:13" x14ac:dyDescent="0.25">
      <c r="A364" s="24"/>
      <c r="B364" s="9"/>
      <c r="C364" s="20">
        <f>IF($B364="","",IFERROR(INDEX(Parc!$B$2:$B$301,MATCH($B364,Parc!$A$2:$A$301,0)),"Réf. inconnue"))</f>
      </c>
      <c r="D364" s="9"/>
      <c r="E364" s="9"/>
      <c r="F364" s="9"/>
      <c r="G364" s="9"/>
      <c r="H364" s="9"/>
      <c r="I364" s="24"/>
      <c r="J364" s="9"/>
      <c r="K364" s="9"/>
      <c r="L364" s="20">
        <f>IF(AND(ISNUMBER($A364),$B364&lt;&gt;"",$D364&lt;&gt;"Examen partiel (ne relance pas)"),IF($A364&lt;=TODAY(),$A364,0),0)</f>
      </c>
      <c r="M364" s="20">
        <f>IF($L364=0,"",$B364&amp;"|"&amp;$L364)</f>
      </c>
    </row>
    <row r="365" spans="1:13" x14ac:dyDescent="0.25">
      <c r="A365" s="24"/>
      <c r="B365" s="9"/>
      <c r="C365" s="20">
        <f>IF($B365="","",IFERROR(INDEX(Parc!$B$2:$B$301,MATCH($B365,Parc!$A$2:$A$301,0)),"Réf. inconnue"))</f>
      </c>
      <c r="D365" s="9"/>
      <c r="E365" s="9"/>
      <c r="F365" s="9"/>
      <c r="G365" s="9"/>
      <c r="H365" s="9"/>
      <c r="I365" s="24"/>
      <c r="J365" s="9"/>
      <c r="K365" s="9"/>
      <c r="L365" s="20">
        <f>IF(AND(ISNUMBER($A365),$B365&lt;&gt;"",$D365&lt;&gt;"Examen partiel (ne relance pas)"),IF($A365&lt;=TODAY(),$A365,0),0)</f>
      </c>
      <c r="M365" s="20">
        <f>IF($L365=0,"",$B365&amp;"|"&amp;$L365)</f>
      </c>
    </row>
    <row r="366" spans="1:13" x14ac:dyDescent="0.25">
      <c r="A366" s="24"/>
      <c r="B366" s="9"/>
      <c r="C366" s="20">
        <f>IF($B366="","",IFERROR(INDEX(Parc!$B$2:$B$301,MATCH($B366,Parc!$A$2:$A$301,0)),"Réf. inconnue"))</f>
      </c>
      <c r="D366" s="9"/>
      <c r="E366" s="9"/>
      <c r="F366" s="9"/>
      <c r="G366" s="9"/>
      <c r="H366" s="9"/>
      <c r="I366" s="24"/>
      <c r="J366" s="9"/>
      <c r="K366" s="9"/>
      <c r="L366" s="20">
        <f>IF(AND(ISNUMBER($A366),$B366&lt;&gt;"",$D366&lt;&gt;"Examen partiel (ne relance pas)"),IF($A366&lt;=TODAY(),$A366,0),0)</f>
      </c>
      <c r="M366" s="20">
        <f>IF($L366=0,"",$B366&amp;"|"&amp;$L366)</f>
      </c>
    </row>
    <row r="367" spans="1:13" x14ac:dyDescent="0.25">
      <c r="A367" s="24"/>
      <c r="B367" s="9"/>
      <c r="C367" s="20">
        <f>IF($B367="","",IFERROR(INDEX(Parc!$B$2:$B$301,MATCH($B367,Parc!$A$2:$A$301,0)),"Réf. inconnue"))</f>
      </c>
      <c r="D367" s="9"/>
      <c r="E367" s="9"/>
      <c r="F367" s="9"/>
      <c r="G367" s="9"/>
      <c r="H367" s="9"/>
      <c r="I367" s="24"/>
      <c r="J367" s="9"/>
      <c r="K367" s="9"/>
      <c r="L367" s="20">
        <f>IF(AND(ISNUMBER($A367),$B367&lt;&gt;"",$D367&lt;&gt;"Examen partiel (ne relance pas)"),IF($A367&lt;=TODAY(),$A367,0),0)</f>
      </c>
      <c r="M367" s="20">
        <f>IF($L367=0,"",$B367&amp;"|"&amp;$L367)</f>
      </c>
    </row>
    <row r="368" spans="1:13" x14ac:dyDescent="0.25">
      <c r="A368" s="24"/>
      <c r="B368" s="9"/>
      <c r="C368" s="20">
        <f>IF($B368="","",IFERROR(INDEX(Parc!$B$2:$B$301,MATCH($B368,Parc!$A$2:$A$301,0)),"Réf. inconnue"))</f>
      </c>
      <c r="D368" s="9"/>
      <c r="E368" s="9"/>
      <c r="F368" s="9"/>
      <c r="G368" s="9"/>
      <c r="H368" s="9"/>
      <c r="I368" s="24"/>
      <c r="J368" s="9"/>
      <c r="K368" s="9"/>
      <c r="L368" s="20">
        <f>IF(AND(ISNUMBER($A368),$B368&lt;&gt;"",$D368&lt;&gt;"Examen partiel (ne relance pas)"),IF($A368&lt;=TODAY(),$A368,0),0)</f>
      </c>
      <c r="M368" s="20">
        <f>IF($L368=0,"",$B368&amp;"|"&amp;$L368)</f>
      </c>
    </row>
    <row r="369" spans="1:13" x14ac:dyDescent="0.25">
      <c r="A369" s="24"/>
      <c r="B369" s="9"/>
      <c r="C369" s="20">
        <f>IF($B369="","",IFERROR(INDEX(Parc!$B$2:$B$301,MATCH($B369,Parc!$A$2:$A$301,0)),"Réf. inconnue"))</f>
      </c>
      <c r="D369" s="9"/>
      <c r="E369" s="9"/>
      <c r="F369" s="9"/>
      <c r="G369" s="9"/>
      <c r="H369" s="9"/>
      <c r="I369" s="24"/>
      <c r="J369" s="9"/>
      <c r="K369" s="9"/>
      <c r="L369" s="20">
        <f>IF(AND(ISNUMBER($A369),$B369&lt;&gt;"",$D369&lt;&gt;"Examen partiel (ne relance pas)"),IF($A369&lt;=TODAY(),$A369,0),0)</f>
      </c>
      <c r="M369" s="20">
        <f>IF($L369=0,"",$B369&amp;"|"&amp;$L369)</f>
      </c>
    </row>
    <row r="370" spans="1:13" x14ac:dyDescent="0.25">
      <c r="A370" s="24"/>
      <c r="B370" s="9"/>
      <c r="C370" s="20">
        <f>IF($B370="","",IFERROR(INDEX(Parc!$B$2:$B$301,MATCH($B370,Parc!$A$2:$A$301,0)),"Réf. inconnue"))</f>
      </c>
      <c r="D370" s="9"/>
      <c r="E370" s="9"/>
      <c r="F370" s="9"/>
      <c r="G370" s="9"/>
      <c r="H370" s="9"/>
      <c r="I370" s="24"/>
      <c r="J370" s="9"/>
      <c r="K370" s="9"/>
      <c r="L370" s="20">
        <f>IF(AND(ISNUMBER($A370),$B370&lt;&gt;"",$D370&lt;&gt;"Examen partiel (ne relance pas)"),IF($A370&lt;=TODAY(),$A370,0),0)</f>
      </c>
      <c r="M370" s="20">
        <f>IF($L370=0,"",$B370&amp;"|"&amp;$L370)</f>
      </c>
    </row>
    <row r="371" spans="1:13" x14ac:dyDescent="0.25">
      <c r="A371" s="24"/>
      <c r="B371" s="9"/>
      <c r="C371" s="20">
        <f>IF($B371="","",IFERROR(INDEX(Parc!$B$2:$B$301,MATCH($B371,Parc!$A$2:$A$301,0)),"Réf. inconnue"))</f>
      </c>
      <c r="D371" s="9"/>
      <c r="E371" s="9"/>
      <c r="F371" s="9"/>
      <c r="G371" s="9"/>
      <c r="H371" s="9"/>
      <c r="I371" s="24"/>
      <c r="J371" s="9"/>
      <c r="K371" s="9"/>
      <c r="L371" s="20">
        <f>IF(AND(ISNUMBER($A371),$B371&lt;&gt;"",$D371&lt;&gt;"Examen partiel (ne relance pas)"),IF($A371&lt;=TODAY(),$A371,0),0)</f>
      </c>
      <c r="M371" s="20">
        <f>IF($L371=0,"",$B371&amp;"|"&amp;$L371)</f>
      </c>
    </row>
    <row r="372" spans="1:13" x14ac:dyDescent="0.25">
      <c r="A372" s="24"/>
      <c r="B372" s="9"/>
      <c r="C372" s="20">
        <f>IF($B372="","",IFERROR(INDEX(Parc!$B$2:$B$301,MATCH($B372,Parc!$A$2:$A$301,0)),"Réf. inconnue"))</f>
      </c>
      <c r="D372" s="9"/>
      <c r="E372" s="9"/>
      <c r="F372" s="9"/>
      <c r="G372" s="9"/>
      <c r="H372" s="9"/>
      <c r="I372" s="24"/>
      <c r="J372" s="9"/>
      <c r="K372" s="9"/>
      <c r="L372" s="20">
        <f>IF(AND(ISNUMBER($A372),$B372&lt;&gt;"",$D372&lt;&gt;"Examen partiel (ne relance pas)"),IF($A372&lt;=TODAY(),$A372,0),0)</f>
      </c>
      <c r="M372" s="20">
        <f>IF($L372=0,"",$B372&amp;"|"&amp;$L372)</f>
      </c>
    </row>
    <row r="373" spans="1:13" x14ac:dyDescent="0.25">
      <c r="A373" s="24"/>
      <c r="B373" s="9"/>
      <c r="C373" s="20">
        <f>IF($B373="","",IFERROR(INDEX(Parc!$B$2:$B$301,MATCH($B373,Parc!$A$2:$A$301,0)),"Réf. inconnue"))</f>
      </c>
      <c r="D373" s="9"/>
      <c r="E373" s="9"/>
      <c r="F373" s="9"/>
      <c r="G373" s="9"/>
      <c r="H373" s="9"/>
      <c r="I373" s="24"/>
      <c r="J373" s="9"/>
      <c r="K373" s="9"/>
      <c r="L373" s="20">
        <f>IF(AND(ISNUMBER($A373),$B373&lt;&gt;"",$D373&lt;&gt;"Examen partiel (ne relance pas)"),IF($A373&lt;=TODAY(),$A373,0),0)</f>
      </c>
      <c r="M373" s="20">
        <f>IF($L373=0,"",$B373&amp;"|"&amp;$L373)</f>
      </c>
    </row>
    <row r="374" spans="1:13" x14ac:dyDescent="0.25">
      <c r="A374" s="24"/>
      <c r="B374" s="9"/>
      <c r="C374" s="20">
        <f>IF($B374="","",IFERROR(INDEX(Parc!$B$2:$B$301,MATCH($B374,Parc!$A$2:$A$301,0)),"Réf. inconnue"))</f>
      </c>
      <c r="D374" s="9"/>
      <c r="E374" s="9"/>
      <c r="F374" s="9"/>
      <c r="G374" s="9"/>
      <c r="H374" s="9"/>
      <c r="I374" s="24"/>
      <c r="J374" s="9"/>
      <c r="K374" s="9"/>
      <c r="L374" s="20">
        <f>IF(AND(ISNUMBER($A374),$B374&lt;&gt;"",$D374&lt;&gt;"Examen partiel (ne relance pas)"),IF($A374&lt;=TODAY(),$A374,0),0)</f>
      </c>
      <c r="M374" s="20">
        <f>IF($L374=0,"",$B374&amp;"|"&amp;$L374)</f>
      </c>
    </row>
    <row r="375" spans="1:13" x14ac:dyDescent="0.25">
      <c r="A375" s="24"/>
      <c r="B375" s="9"/>
      <c r="C375" s="20">
        <f>IF($B375="","",IFERROR(INDEX(Parc!$B$2:$B$301,MATCH($B375,Parc!$A$2:$A$301,0)),"Réf. inconnue"))</f>
      </c>
      <c r="D375" s="9"/>
      <c r="E375" s="9"/>
      <c r="F375" s="9"/>
      <c r="G375" s="9"/>
      <c r="H375" s="9"/>
      <c r="I375" s="24"/>
      <c r="J375" s="9"/>
      <c r="K375" s="9"/>
      <c r="L375" s="20">
        <f>IF(AND(ISNUMBER($A375),$B375&lt;&gt;"",$D375&lt;&gt;"Examen partiel (ne relance pas)"),IF($A375&lt;=TODAY(),$A375,0),0)</f>
      </c>
      <c r="M375" s="20">
        <f>IF($L375=0,"",$B375&amp;"|"&amp;$L375)</f>
      </c>
    </row>
    <row r="376" spans="1:13" x14ac:dyDescent="0.25">
      <c r="A376" s="24"/>
      <c r="B376" s="9"/>
      <c r="C376" s="20">
        <f>IF($B376="","",IFERROR(INDEX(Parc!$B$2:$B$301,MATCH($B376,Parc!$A$2:$A$301,0)),"Réf. inconnue"))</f>
      </c>
      <c r="D376" s="9"/>
      <c r="E376" s="9"/>
      <c r="F376" s="9"/>
      <c r="G376" s="9"/>
      <c r="H376" s="9"/>
      <c r="I376" s="24"/>
      <c r="J376" s="9"/>
      <c r="K376" s="9"/>
      <c r="L376" s="20">
        <f>IF(AND(ISNUMBER($A376),$B376&lt;&gt;"",$D376&lt;&gt;"Examen partiel (ne relance pas)"),IF($A376&lt;=TODAY(),$A376,0),0)</f>
      </c>
      <c r="M376" s="20">
        <f>IF($L376=0,"",$B376&amp;"|"&amp;$L376)</f>
      </c>
    </row>
    <row r="377" spans="1:13" x14ac:dyDescent="0.25">
      <c r="A377" s="24"/>
      <c r="B377" s="9"/>
      <c r="C377" s="20">
        <f>IF($B377="","",IFERROR(INDEX(Parc!$B$2:$B$301,MATCH($B377,Parc!$A$2:$A$301,0)),"Réf. inconnue"))</f>
      </c>
      <c r="D377" s="9"/>
      <c r="E377" s="9"/>
      <c r="F377" s="9"/>
      <c r="G377" s="9"/>
      <c r="H377" s="9"/>
      <c r="I377" s="24"/>
      <c r="J377" s="9"/>
      <c r="K377" s="9"/>
      <c r="L377" s="20">
        <f>IF(AND(ISNUMBER($A377),$B377&lt;&gt;"",$D377&lt;&gt;"Examen partiel (ne relance pas)"),IF($A377&lt;=TODAY(),$A377,0),0)</f>
      </c>
      <c r="M377" s="20">
        <f>IF($L377=0,"",$B377&amp;"|"&amp;$L377)</f>
      </c>
    </row>
    <row r="378" spans="1:13" x14ac:dyDescent="0.25">
      <c r="A378" s="24"/>
      <c r="B378" s="9"/>
      <c r="C378" s="20">
        <f>IF($B378="","",IFERROR(INDEX(Parc!$B$2:$B$301,MATCH($B378,Parc!$A$2:$A$301,0)),"Réf. inconnue"))</f>
      </c>
      <c r="D378" s="9"/>
      <c r="E378" s="9"/>
      <c r="F378" s="9"/>
      <c r="G378" s="9"/>
      <c r="H378" s="9"/>
      <c r="I378" s="24"/>
      <c r="J378" s="9"/>
      <c r="K378" s="9"/>
      <c r="L378" s="20">
        <f>IF(AND(ISNUMBER($A378),$B378&lt;&gt;"",$D378&lt;&gt;"Examen partiel (ne relance pas)"),IF($A378&lt;=TODAY(),$A378,0),0)</f>
      </c>
      <c r="M378" s="20">
        <f>IF($L378=0,"",$B378&amp;"|"&amp;$L378)</f>
      </c>
    </row>
    <row r="379" spans="1:13" x14ac:dyDescent="0.25">
      <c r="A379" s="24"/>
      <c r="B379" s="9"/>
      <c r="C379" s="20">
        <f>IF($B379="","",IFERROR(INDEX(Parc!$B$2:$B$301,MATCH($B379,Parc!$A$2:$A$301,0)),"Réf. inconnue"))</f>
      </c>
      <c r="D379" s="9"/>
      <c r="E379" s="9"/>
      <c r="F379" s="9"/>
      <c r="G379" s="9"/>
      <c r="H379" s="9"/>
      <c r="I379" s="24"/>
      <c r="J379" s="9"/>
      <c r="K379" s="9"/>
      <c r="L379" s="20">
        <f>IF(AND(ISNUMBER($A379),$B379&lt;&gt;"",$D379&lt;&gt;"Examen partiel (ne relance pas)"),IF($A379&lt;=TODAY(),$A379,0),0)</f>
      </c>
      <c r="M379" s="20">
        <f>IF($L379=0,"",$B379&amp;"|"&amp;$L379)</f>
      </c>
    </row>
    <row r="380" spans="1:13" x14ac:dyDescent="0.25">
      <c r="A380" s="24"/>
      <c r="B380" s="9"/>
      <c r="C380" s="20">
        <f>IF($B380="","",IFERROR(INDEX(Parc!$B$2:$B$301,MATCH($B380,Parc!$A$2:$A$301,0)),"Réf. inconnue"))</f>
      </c>
      <c r="D380" s="9"/>
      <c r="E380" s="9"/>
      <c r="F380" s="9"/>
      <c r="G380" s="9"/>
      <c r="H380" s="9"/>
      <c r="I380" s="24"/>
      <c r="J380" s="9"/>
      <c r="K380" s="9"/>
      <c r="L380" s="20">
        <f>IF(AND(ISNUMBER($A380),$B380&lt;&gt;"",$D380&lt;&gt;"Examen partiel (ne relance pas)"),IF($A380&lt;=TODAY(),$A380,0),0)</f>
      </c>
      <c r="M380" s="20">
        <f>IF($L380=0,"",$B380&amp;"|"&amp;$L380)</f>
      </c>
    </row>
    <row r="381" spans="1:13" x14ac:dyDescent="0.25">
      <c r="A381" s="24"/>
      <c r="B381" s="9"/>
      <c r="C381" s="20">
        <f>IF($B381="","",IFERROR(INDEX(Parc!$B$2:$B$301,MATCH($B381,Parc!$A$2:$A$301,0)),"Réf. inconnue"))</f>
      </c>
      <c r="D381" s="9"/>
      <c r="E381" s="9"/>
      <c r="F381" s="9"/>
      <c r="G381" s="9"/>
      <c r="H381" s="9"/>
      <c r="I381" s="24"/>
      <c r="J381" s="9"/>
      <c r="K381" s="9"/>
      <c r="L381" s="20">
        <f>IF(AND(ISNUMBER($A381),$B381&lt;&gt;"",$D381&lt;&gt;"Examen partiel (ne relance pas)"),IF($A381&lt;=TODAY(),$A381,0),0)</f>
      </c>
      <c r="M381" s="20">
        <f>IF($L381=0,"",$B381&amp;"|"&amp;$L381)</f>
      </c>
    </row>
    <row r="382" spans="1:13" x14ac:dyDescent="0.25">
      <c r="A382" s="24"/>
      <c r="B382" s="9"/>
      <c r="C382" s="20">
        <f>IF($B382="","",IFERROR(INDEX(Parc!$B$2:$B$301,MATCH($B382,Parc!$A$2:$A$301,0)),"Réf. inconnue"))</f>
      </c>
      <c r="D382" s="9"/>
      <c r="E382" s="9"/>
      <c r="F382" s="9"/>
      <c r="G382" s="9"/>
      <c r="H382" s="9"/>
      <c r="I382" s="24"/>
      <c r="J382" s="9"/>
      <c r="K382" s="9"/>
      <c r="L382" s="20">
        <f>IF(AND(ISNUMBER($A382),$B382&lt;&gt;"",$D382&lt;&gt;"Examen partiel (ne relance pas)"),IF($A382&lt;=TODAY(),$A382,0),0)</f>
      </c>
      <c r="M382" s="20">
        <f>IF($L382=0,"",$B382&amp;"|"&amp;$L382)</f>
      </c>
    </row>
    <row r="383" spans="1:13" x14ac:dyDescent="0.25">
      <c r="A383" s="24"/>
      <c r="B383" s="9"/>
      <c r="C383" s="20">
        <f>IF($B383="","",IFERROR(INDEX(Parc!$B$2:$B$301,MATCH($B383,Parc!$A$2:$A$301,0)),"Réf. inconnue"))</f>
      </c>
      <c r="D383" s="9"/>
      <c r="E383" s="9"/>
      <c r="F383" s="9"/>
      <c r="G383" s="9"/>
      <c r="H383" s="9"/>
      <c r="I383" s="24"/>
      <c r="J383" s="9"/>
      <c r="K383" s="9"/>
      <c r="L383" s="20">
        <f>IF(AND(ISNUMBER($A383),$B383&lt;&gt;"",$D383&lt;&gt;"Examen partiel (ne relance pas)"),IF($A383&lt;=TODAY(),$A383,0),0)</f>
      </c>
      <c r="M383" s="20">
        <f>IF($L383=0,"",$B383&amp;"|"&amp;$L383)</f>
      </c>
    </row>
    <row r="384" spans="1:13" x14ac:dyDescent="0.25">
      <c r="A384" s="24"/>
      <c r="B384" s="9"/>
      <c r="C384" s="20">
        <f>IF($B384="","",IFERROR(INDEX(Parc!$B$2:$B$301,MATCH($B384,Parc!$A$2:$A$301,0)),"Réf. inconnue"))</f>
      </c>
      <c r="D384" s="9"/>
      <c r="E384" s="9"/>
      <c r="F384" s="9"/>
      <c r="G384" s="9"/>
      <c r="H384" s="9"/>
      <c r="I384" s="24"/>
      <c r="J384" s="9"/>
      <c r="K384" s="9"/>
      <c r="L384" s="20">
        <f>IF(AND(ISNUMBER($A384),$B384&lt;&gt;"",$D384&lt;&gt;"Examen partiel (ne relance pas)"),IF($A384&lt;=TODAY(),$A384,0),0)</f>
      </c>
      <c r="M384" s="20">
        <f>IF($L384=0,"",$B384&amp;"|"&amp;$L384)</f>
      </c>
    </row>
    <row r="385" spans="1:13" x14ac:dyDescent="0.25">
      <c r="A385" s="24"/>
      <c r="B385" s="9"/>
      <c r="C385" s="20">
        <f>IF($B385="","",IFERROR(INDEX(Parc!$B$2:$B$301,MATCH($B385,Parc!$A$2:$A$301,0)),"Réf. inconnue"))</f>
      </c>
      <c r="D385" s="9"/>
      <c r="E385" s="9"/>
      <c r="F385" s="9"/>
      <c r="G385" s="9"/>
      <c r="H385" s="9"/>
      <c r="I385" s="24"/>
      <c r="J385" s="9"/>
      <c r="K385" s="9"/>
      <c r="L385" s="20">
        <f>IF(AND(ISNUMBER($A385),$B385&lt;&gt;"",$D385&lt;&gt;"Examen partiel (ne relance pas)"),IF($A385&lt;=TODAY(),$A385,0),0)</f>
      </c>
      <c r="M385" s="20">
        <f>IF($L385=0,"",$B385&amp;"|"&amp;$L385)</f>
      </c>
    </row>
    <row r="386" spans="1:13" x14ac:dyDescent="0.25">
      <c r="A386" s="24"/>
      <c r="B386" s="9"/>
      <c r="C386" s="20">
        <f>IF($B386="","",IFERROR(INDEX(Parc!$B$2:$B$301,MATCH($B386,Parc!$A$2:$A$301,0)),"Réf. inconnue"))</f>
      </c>
      <c r="D386" s="9"/>
      <c r="E386" s="9"/>
      <c r="F386" s="9"/>
      <c r="G386" s="9"/>
      <c r="H386" s="9"/>
      <c r="I386" s="24"/>
      <c r="J386" s="9"/>
      <c r="K386" s="9"/>
      <c r="L386" s="20">
        <f>IF(AND(ISNUMBER($A386),$B386&lt;&gt;"",$D386&lt;&gt;"Examen partiel (ne relance pas)"),IF($A386&lt;=TODAY(),$A386,0),0)</f>
      </c>
      <c r="M386" s="20">
        <f>IF($L386=0,"",$B386&amp;"|"&amp;$L386)</f>
      </c>
    </row>
    <row r="387" spans="1:13" x14ac:dyDescent="0.25">
      <c r="A387" s="24"/>
      <c r="B387" s="9"/>
      <c r="C387" s="20">
        <f>IF($B387="","",IFERROR(INDEX(Parc!$B$2:$B$301,MATCH($B387,Parc!$A$2:$A$301,0)),"Réf. inconnue"))</f>
      </c>
      <c r="D387" s="9"/>
      <c r="E387" s="9"/>
      <c r="F387" s="9"/>
      <c r="G387" s="9"/>
      <c r="H387" s="9"/>
      <c r="I387" s="24"/>
      <c r="J387" s="9"/>
      <c r="K387" s="9"/>
      <c r="L387" s="20">
        <f>IF(AND(ISNUMBER($A387),$B387&lt;&gt;"",$D387&lt;&gt;"Examen partiel (ne relance pas)"),IF($A387&lt;=TODAY(),$A387,0),0)</f>
      </c>
      <c r="M387" s="20">
        <f>IF($L387=0,"",$B387&amp;"|"&amp;$L387)</f>
      </c>
    </row>
    <row r="388" spans="1:13" x14ac:dyDescent="0.25">
      <c r="A388" s="24"/>
      <c r="B388" s="9"/>
      <c r="C388" s="20">
        <f>IF($B388="","",IFERROR(INDEX(Parc!$B$2:$B$301,MATCH($B388,Parc!$A$2:$A$301,0)),"Réf. inconnue"))</f>
      </c>
      <c r="D388" s="9"/>
      <c r="E388" s="9"/>
      <c r="F388" s="9"/>
      <c r="G388" s="9"/>
      <c r="H388" s="9"/>
      <c r="I388" s="24"/>
      <c r="J388" s="9"/>
      <c r="K388" s="9"/>
      <c r="L388" s="20">
        <f>IF(AND(ISNUMBER($A388),$B388&lt;&gt;"",$D388&lt;&gt;"Examen partiel (ne relance pas)"),IF($A388&lt;=TODAY(),$A388,0),0)</f>
      </c>
      <c r="M388" s="20">
        <f>IF($L388=0,"",$B388&amp;"|"&amp;$L388)</f>
      </c>
    </row>
    <row r="389" spans="1:13" x14ac:dyDescent="0.25">
      <c r="A389" s="24"/>
      <c r="B389" s="9"/>
      <c r="C389" s="20">
        <f>IF($B389="","",IFERROR(INDEX(Parc!$B$2:$B$301,MATCH($B389,Parc!$A$2:$A$301,0)),"Réf. inconnue"))</f>
      </c>
      <c r="D389" s="9"/>
      <c r="E389" s="9"/>
      <c r="F389" s="9"/>
      <c r="G389" s="9"/>
      <c r="H389" s="9"/>
      <c r="I389" s="24"/>
      <c r="J389" s="9"/>
      <c r="K389" s="9"/>
      <c r="L389" s="20">
        <f>IF(AND(ISNUMBER($A389),$B389&lt;&gt;"",$D389&lt;&gt;"Examen partiel (ne relance pas)"),IF($A389&lt;=TODAY(),$A389,0),0)</f>
      </c>
      <c r="M389" s="20">
        <f>IF($L389=0,"",$B389&amp;"|"&amp;$L389)</f>
      </c>
    </row>
    <row r="390" spans="1:13" x14ac:dyDescent="0.25">
      <c r="A390" s="24"/>
      <c r="B390" s="9"/>
      <c r="C390" s="20">
        <f>IF($B390="","",IFERROR(INDEX(Parc!$B$2:$B$301,MATCH($B390,Parc!$A$2:$A$301,0)),"Réf. inconnue"))</f>
      </c>
      <c r="D390" s="9"/>
      <c r="E390" s="9"/>
      <c r="F390" s="9"/>
      <c r="G390" s="9"/>
      <c r="H390" s="9"/>
      <c r="I390" s="24"/>
      <c r="J390" s="9"/>
      <c r="K390" s="9"/>
      <c r="L390" s="20">
        <f>IF(AND(ISNUMBER($A390),$B390&lt;&gt;"",$D390&lt;&gt;"Examen partiel (ne relance pas)"),IF($A390&lt;=TODAY(),$A390,0),0)</f>
      </c>
      <c r="M390" s="20">
        <f>IF($L390=0,"",$B390&amp;"|"&amp;$L390)</f>
      </c>
    </row>
    <row r="391" spans="1:13" x14ac:dyDescent="0.25">
      <c r="A391" s="24"/>
      <c r="B391" s="9"/>
      <c r="C391" s="20">
        <f>IF($B391="","",IFERROR(INDEX(Parc!$B$2:$B$301,MATCH($B391,Parc!$A$2:$A$301,0)),"Réf. inconnue"))</f>
      </c>
      <c r="D391" s="9"/>
      <c r="E391" s="9"/>
      <c r="F391" s="9"/>
      <c r="G391" s="9"/>
      <c r="H391" s="9"/>
      <c r="I391" s="24"/>
      <c r="J391" s="9"/>
      <c r="K391" s="9"/>
      <c r="L391" s="20">
        <f>IF(AND(ISNUMBER($A391),$B391&lt;&gt;"",$D391&lt;&gt;"Examen partiel (ne relance pas)"),IF($A391&lt;=TODAY(),$A391,0),0)</f>
      </c>
      <c r="M391" s="20">
        <f>IF($L391=0,"",$B391&amp;"|"&amp;$L391)</f>
      </c>
    </row>
    <row r="392" spans="1:13" x14ac:dyDescent="0.25">
      <c r="A392" s="24"/>
      <c r="B392" s="9"/>
      <c r="C392" s="20">
        <f>IF($B392="","",IFERROR(INDEX(Parc!$B$2:$B$301,MATCH($B392,Parc!$A$2:$A$301,0)),"Réf. inconnue"))</f>
      </c>
      <c r="D392" s="9"/>
      <c r="E392" s="9"/>
      <c r="F392" s="9"/>
      <c r="G392" s="9"/>
      <c r="H392" s="9"/>
      <c r="I392" s="24"/>
      <c r="J392" s="9"/>
      <c r="K392" s="9"/>
      <c r="L392" s="20">
        <f>IF(AND(ISNUMBER($A392),$B392&lt;&gt;"",$D392&lt;&gt;"Examen partiel (ne relance pas)"),IF($A392&lt;=TODAY(),$A392,0),0)</f>
      </c>
      <c r="M392" s="20">
        <f>IF($L392=0,"",$B392&amp;"|"&amp;$L392)</f>
      </c>
    </row>
    <row r="393" spans="1:13" x14ac:dyDescent="0.25">
      <c r="A393" s="24"/>
      <c r="B393" s="9"/>
      <c r="C393" s="20">
        <f>IF($B393="","",IFERROR(INDEX(Parc!$B$2:$B$301,MATCH($B393,Parc!$A$2:$A$301,0)),"Réf. inconnue"))</f>
      </c>
      <c r="D393" s="9"/>
      <c r="E393" s="9"/>
      <c r="F393" s="9"/>
      <c r="G393" s="9"/>
      <c r="H393" s="9"/>
      <c r="I393" s="24"/>
      <c r="J393" s="9"/>
      <c r="K393" s="9"/>
      <c r="L393" s="20">
        <f>IF(AND(ISNUMBER($A393),$B393&lt;&gt;"",$D393&lt;&gt;"Examen partiel (ne relance pas)"),IF($A393&lt;=TODAY(),$A393,0),0)</f>
      </c>
      <c r="M393" s="20">
        <f>IF($L393=0,"",$B393&amp;"|"&amp;$L393)</f>
      </c>
    </row>
    <row r="394" spans="1:13" x14ac:dyDescent="0.25">
      <c r="A394" s="24"/>
      <c r="B394" s="9"/>
      <c r="C394" s="20">
        <f>IF($B394="","",IFERROR(INDEX(Parc!$B$2:$B$301,MATCH($B394,Parc!$A$2:$A$301,0)),"Réf. inconnue"))</f>
      </c>
      <c r="D394" s="9"/>
      <c r="E394" s="9"/>
      <c r="F394" s="9"/>
      <c r="G394" s="9"/>
      <c r="H394" s="9"/>
      <c r="I394" s="24"/>
      <c r="J394" s="9"/>
      <c r="K394" s="9"/>
      <c r="L394" s="20">
        <f>IF(AND(ISNUMBER($A394),$B394&lt;&gt;"",$D394&lt;&gt;"Examen partiel (ne relance pas)"),IF($A394&lt;=TODAY(),$A394,0),0)</f>
      </c>
      <c r="M394" s="20">
        <f>IF($L394=0,"",$B394&amp;"|"&amp;$L394)</f>
      </c>
    </row>
    <row r="395" spans="1:13" x14ac:dyDescent="0.25">
      <c r="A395" s="24"/>
      <c r="B395" s="9"/>
      <c r="C395" s="20">
        <f>IF($B395="","",IFERROR(INDEX(Parc!$B$2:$B$301,MATCH($B395,Parc!$A$2:$A$301,0)),"Réf. inconnue"))</f>
      </c>
      <c r="D395" s="9"/>
      <c r="E395" s="9"/>
      <c r="F395" s="9"/>
      <c r="G395" s="9"/>
      <c r="H395" s="9"/>
      <c r="I395" s="24"/>
      <c r="J395" s="9"/>
      <c r="K395" s="9"/>
      <c r="L395" s="20">
        <f>IF(AND(ISNUMBER($A395),$B395&lt;&gt;"",$D395&lt;&gt;"Examen partiel (ne relance pas)"),IF($A395&lt;=TODAY(),$A395,0),0)</f>
      </c>
      <c r="M395" s="20">
        <f>IF($L395=0,"",$B395&amp;"|"&amp;$L395)</f>
      </c>
    </row>
    <row r="396" spans="1:13" x14ac:dyDescent="0.25">
      <c r="A396" s="24"/>
      <c r="B396" s="9"/>
      <c r="C396" s="20">
        <f>IF($B396="","",IFERROR(INDEX(Parc!$B$2:$B$301,MATCH($B396,Parc!$A$2:$A$301,0)),"Réf. inconnue"))</f>
      </c>
      <c r="D396" s="9"/>
      <c r="E396" s="9"/>
      <c r="F396" s="9"/>
      <c r="G396" s="9"/>
      <c r="H396" s="9"/>
      <c r="I396" s="24"/>
      <c r="J396" s="9"/>
      <c r="K396" s="9"/>
      <c r="L396" s="20">
        <f>IF(AND(ISNUMBER($A396),$B396&lt;&gt;"",$D396&lt;&gt;"Examen partiel (ne relance pas)"),IF($A396&lt;=TODAY(),$A396,0),0)</f>
      </c>
      <c r="M396" s="20">
        <f>IF($L396=0,"",$B396&amp;"|"&amp;$L396)</f>
      </c>
    </row>
    <row r="397" spans="1:13" x14ac:dyDescent="0.25">
      <c r="A397" s="24"/>
      <c r="B397" s="9"/>
      <c r="C397" s="20">
        <f>IF($B397="","",IFERROR(INDEX(Parc!$B$2:$B$301,MATCH($B397,Parc!$A$2:$A$301,0)),"Réf. inconnue"))</f>
      </c>
      <c r="D397" s="9"/>
      <c r="E397" s="9"/>
      <c r="F397" s="9"/>
      <c r="G397" s="9"/>
      <c r="H397" s="9"/>
      <c r="I397" s="24"/>
      <c r="J397" s="9"/>
      <c r="K397" s="9"/>
      <c r="L397" s="20">
        <f>IF(AND(ISNUMBER($A397),$B397&lt;&gt;"",$D397&lt;&gt;"Examen partiel (ne relance pas)"),IF($A397&lt;=TODAY(),$A397,0),0)</f>
      </c>
      <c r="M397" s="20">
        <f>IF($L397=0,"",$B397&amp;"|"&amp;$L397)</f>
      </c>
    </row>
    <row r="398" spans="1:13" x14ac:dyDescent="0.25">
      <c r="A398" s="24"/>
      <c r="B398" s="9"/>
      <c r="C398" s="20">
        <f>IF($B398="","",IFERROR(INDEX(Parc!$B$2:$B$301,MATCH($B398,Parc!$A$2:$A$301,0)),"Réf. inconnue"))</f>
      </c>
      <c r="D398" s="9"/>
      <c r="E398" s="9"/>
      <c r="F398" s="9"/>
      <c r="G398" s="9"/>
      <c r="H398" s="9"/>
      <c r="I398" s="24"/>
      <c r="J398" s="9"/>
      <c r="K398" s="9"/>
      <c r="L398" s="20">
        <f>IF(AND(ISNUMBER($A398),$B398&lt;&gt;"",$D398&lt;&gt;"Examen partiel (ne relance pas)"),IF($A398&lt;=TODAY(),$A398,0),0)</f>
      </c>
      <c r="M398" s="20">
        <f>IF($L398=0,"",$B398&amp;"|"&amp;$L398)</f>
      </c>
    </row>
    <row r="399" spans="1:13" x14ac:dyDescent="0.25">
      <c r="A399" s="24"/>
      <c r="B399" s="9"/>
      <c r="C399" s="20">
        <f>IF($B399="","",IFERROR(INDEX(Parc!$B$2:$B$301,MATCH($B399,Parc!$A$2:$A$301,0)),"Réf. inconnue"))</f>
      </c>
      <c r="D399" s="9"/>
      <c r="E399" s="9"/>
      <c r="F399" s="9"/>
      <c r="G399" s="9"/>
      <c r="H399" s="9"/>
      <c r="I399" s="24"/>
      <c r="J399" s="9"/>
      <c r="K399" s="9"/>
      <c r="L399" s="20">
        <f>IF(AND(ISNUMBER($A399),$B399&lt;&gt;"",$D399&lt;&gt;"Examen partiel (ne relance pas)"),IF($A399&lt;=TODAY(),$A399,0),0)</f>
      </c>
      <c r="M399" s="20">
        <f>IF($L399=0,"",$B399&amp;"|"&amp;$L399)</f>
      </c>
    </row>
    <row r="400" spans="1:13" x14ac:dyDescent="0.25">
      <c r="A400" s="24"/>
      <c r="B400" s="9"/>
      <c r="C400" s="20">
        <f>IF($B400="","",IFERROR(INDEX(Parc!$B$2:$B$301,MATCH($B400,Parc!$A$2:$A$301,0)),"Réf. inconnue"))</f>
      </c>
      <c r="D400" s="9"/>
      <c r="E400" s="9"/>
      <c r="F400" s="9"/>
      <c r="G400" s="9"/>
      <c r="H400" s="9"/>
      <c r="I400" s="24"/>
      <c r="J400" s="9"/>
      <c r="K400" s="9"/>
      <c r="L400" s="20">
        <f>IF(AND(ISNUMBER($A400),$B400&lt;&gt;"",$D400&lt;&gt;"Examen partiel (ne relance pas)"),IF($A400&lt;=TODAY(),$A400,0),0)</f>
      </c>
      <c r="M400" s="20">
        <f>IF($L400=0,"",$B400&amp;"|"&amp;$L400)</f>
      </c>
    </row>
    <row r="401" spans="1:13" x14ac:dyDescent="0.25">
      <c r="A401" s="24"/>
      <c r="B401" s="9"/>
      <c r="C401" s="20">
        <f>IF($B401="","",IFERROR(INDEX(Parc!$B$2:$B$301,MATCH($B401,Parc!$A$2:$A$301,0)),"Réf. inconnue"))</f>
      </c>
      <c r="D401" s="9"/>
      <c r="E401" s="9"/>
      <c r="F401" s="9"/>
      <c r="G401" s="9"/>
      <c r="H401" s="9"/>
      <c r="I401" s="24"/>
      <c r="J401" s="9"/>
      <c r="K401" s="9"/>
      <c r="L401" s="20">
        <f>IF(AND(ISNUMBER($A401),$B401&lt;&gt;"",$D401&lt;&gt;"Examen partiel (ne relance pas)"),IF($A401&lt;=TODAY(),$A401,0),0)</f>
      </c>
      <c r="M401" s="20">
        <f>IF($L401=0,"",$B401&amp;"|"&amp;$L401)</f>
      </c>
    </row>
    <row r="402" spans="1:13" x14ac:dyDescent="0.25">
      <c r="A402" s="24"/>
      <c r="B402" s="9"/>
      <c r="C402" s="20">
        <f>IF($B402="","",IFERROR(INDEX(Parc!$B$2:$B$301,MATCH($B402,Parc!$A$2:$A$301,0)),"Réf. inconnue"))</f>
      </c>
      <c r="D402" s="9"/>
      <c r="E402" s="9"/>
      <c r="F402" s="9"/>
      <c r="G402" s="9"/>
      <c r="H402" s="9"/>
      <c r="I402" s="24"/>
      <c r="J402" s="9"/>
      <c r="K402" s="9"/>
      <c r="L402" s="20">
        <f>IF(AND(ISNUMBER($A402),$B402&lt;&gt;"",$D402&lt;&gt;"Examen partiel (ne relance pas)"),IF($A402&lt;=TODAY(),$A402,0),0)</f>
      </c>
      <c r="M402" s="20">
        <f>IF($L402=0,"",$B402&amp;"|"&amp;$L402)</f>
      </c>
    </row>
    <row r="403" spans="1:13" x14ac:dyDescent="0.25">
      <c r="A403" s="24"/>
      <c r="B403" s="9"/>
      <c r="C403" s="20">
        <f>IF($B403="","",IFERROR(INDEX(Parc!$B$2:$B$301,MATCH($B403,Parc!$A$2:$A$301,0)),"Réf. inconnue"))</f>
      </c>
      <c r="D403" s="9"/>
      <c r="E403" s="9"/>
      <c r="F403" s="9"/>
      <c r="G403" s="9"/>
      <c r="H403" s="9"/>
      <c r="I403" s="24"/>
      <c r="J403" s="9"/>
      <c r="K403" s="9"/>
      <c r="L403" s="20">
        <f>IF(AND(ISNUMBER($A403),$B403&lt;&gt;"",$D403&lt;&gt;"Examen partiel (ne relance pas)"),IF($A403&lt;=TODAY(),$A403,0),0)</f>
      </c>
      <c r="M403" s="20">
        <f>IF($L403=0,"",$B403&amp;"|"&amp;$L403)</f>
      </c>
    </row>
    <row r="404" spans="1:13" x14ac:dyDescent="0.25">
      <c r="A404" s="24"/>
      <c r="B404" s="9"/>
      <c r="C404" s="20">
        <f>IF($B404="","",IFERROR(INDEX(Parc!$B$2:$B$301,MATCH($B404,Parc!$A$2:$A$301,0)),"Réf. inconnue"))</f>
      </c>
      <c r="D404" s="9"/>
      <c r="E404" s="9"/>
      <c r="F404" s="9"/>
      <c r="G404" s="9"/>
      <c r="H404" s="9"/>
      <c r="I404" s="24"/>
      <c r="J404" s="9"/>
      <c r="K404" s="9"/>
      <c r="L404" s="20">
        <f>IF(AND(ISNUMBER($A404),$B404&lt;&gt;"",$D404&lt;&gt;"Examen partiel (ne relance pas)"),IF($A404&lt;=TODAY(),$A404,0),0)</f>
      </c>
      <c r="M404" s="20">
        <f>IF($L404=0,"",$B404&amp;"|"&amp;$L404)</f>
      </c>
    </row>
    <row r="405" spans="1:13" x14ac:dyDescent="0.25">
      <c r="A405" s="24"/>
      <c r="B405" s="9"/>
      <c r="C405" s="20">
        <f>IF($B405="","",IFERROR(INDEX(Parc!$B$2:$B$301,MATCH($B405,Parc!$A$2:$A$301,0)),"Réf. inconnue"))</f>
      </c>
      <c r="D405" s="9"/>
      <c r="E405" s="9"/>
      <c r="F405" s="9"/>
      <c r="G405" s="9"/>
      <c r="H405" s="9"/>
      <c r="I405" s="24"/>
      <c r="J405" s="9"/>
      <c r="K405" s="9"/>
      <c r="L405" s="20">
        <f>IF(AND(ISNUMBER($A405),$B405&lt;&gt;"",$D405&lt;&gt;"Examen partiel (ne relance pas)"),IF($A405&lt;=TODAY(),$A405,0),0)</f>
      </c>
      <c r="M405" s="20">
        <f>IF($L405=0,"",$B405&amp;"|"&amp;$L405)</f>
      </c>
    </row>
    <row r="406" spans="1:13" x14ac:dyDescent="0.25">
      <c r="A406" s="24"/>
      <c r="B406" s="9"/>
      <c r="C406" s="20">
        <f>IF($B406="","",IFERROR(INDEX(Parc!$B$2:$B$301,MATCH($B406,Parc!$A$2:$A$301,0)),"Réf. inconnue"))</f>
      </c>
      <c r="D406" s="9"/>
      <c r="E406" s="9"/>
      <c r="F406" s="9"/>
      <c r="G406" s="9"/>
      <c r="H406" s="9"/>
      <c r="I406" s="24"/>
      <c r="J406" s="9"/>
      <c r="K406" s="9"/>
      <c r="L406" s="20">
        <f>IF(AND(ISNUMBER($A406),$B406&lt;&gt;"",$D406&lt;&gt;"Examen partiel (ne relance pas)"),IF($A406&lt;=TODAY(),$A406,0),0)</f>
      </c>
      <c r="M406" s="20">
        <f>IF($L406=0,"",$B406&amp;"|"&amp;$L406)</f>
      </c>
    </row>
    <row r="407" spans="1:13" x14ac:dyDescent="0.25">
      <c r="A407" s="24"/>
      <c r="B407" s="9"/>
      <c r="C407" s="20">
        <f>IF($B407="","",IFERROR(INDEX(Parc!$B$2:$B$301,MATCH($B407,Parc!$A$2:$A$301,0)),"Réf. inconnue"))</f>
      </c>
      <c r="D407" s="9"/>
      <c r="E407" s="9"/>
      <c r="F407" s="9"/>
      <c r="G407" s="9"/>
      <c r="H407" s="9"/>
      <c r="I407" s="24"/>
      <c r="J407" s="9"/>
      <c r="K407" s="9"/>
      <c r="L407" s="20">
        <f>IF(AND(ISNUMBER($A407),$B407&lt;&gt;"",$D407&lt;&gt;"Examen partiel (ne relance pas)"),IF($A407&lt;=TODAY(),$A407,0),0)</f>
      </c>
      <c r="M407" s="20">
        <f>IF($L407=0,"",$B407&amp;"|"&amp;$L407)</f>
      </c>
    </row>
    <row r="408" spans="1:13" x14ac:dyDescent="0.25">
      <c r="A408" s="24"/>
      <c r="B408" s="9"/>
      <c r="C408" s="20">
        <f>IF($B408="","",IFERROR(INDEX(Parc!$B$2:$B$301,MATCH($B408,Parc!$A$2:$A$301,0)),"Réf. inconnue"))</f>
      </c>
      <c r="D408" s="9"/>
      <c r="E408" s="9"/>
      <c r="F408" s="9"/>
      <c r="G408" s="9"/>
      <c r="H408" s="9"/>
      <c r="I408" s="24"/>
      <c r="J408" s="9"/>
      <c r="K408" s="9"/>
      <c r="L408" s="20">
        <f>IF(AND(ISNUMBER($A408),$B408&lt;&gt;"",$D408&lt;&gt;"Examen partiel (ne relance pas)"),IF($A408&lt;=TODAY(),$A408,0),0)</f>
      </c>
      <c r="M408" s="20">
        <f>IF($L408=0,"",$B408&amp;"|"&amp;$L408)</f>
      </c>
    </row>
    <row r="409" spans="1:13" x14ac:dyDescent="0.25">
      <c r="A409" s="24"/>
      <c r="B409" s="9"/>
      <c r="C409" s="20">
        <f>IF($B409="","",IFERROR(INDEX(Parc!$B$2:$B$301,MATCH($B409,Parc!$A$2:$A$301,0)),"Réf. inconnue"))</f>
      </c>
      <c r="D409" s="9"/>
      <c r="E409" s="9"/>
      <c r="F409" s="9"/>
      <c r="G409" s="9"/>
      <c r="H409" s="9"/>
      <c r="I409" s="24"/>
      <c r="J409" s="9"/>
      <c r="K409" s="9"/>
      <c r="L409" s="20">
        <f>IF(AND(ISNUMBER($A409),$B409&lt;&gt;"",$D409&lt;&gt;"Examen partiel (ne relance pas)"),IF($A409&lt;=TODAY(),$A409,0),0)</f>
      </c>
      <c r="M409" s="20">
        <f>IF($L409=0,"",$B409&amp;"|"&amp;$L409)</f>
      </c>
    </row>
    <row r="410" spans="1:13" x14ac:dyDescent="0.25">
      <c r="A410" s="24"/>
      <c r="B410" s="9"/>
      <c r="C410" s="20">
        <f>IF($B410="","",IFERROR(INDEX(Parc!$B$2:$B$301,MATCH($B410,Parc!$A$2:$A$301,0)),"Réf. inconnue"))</f>
      </c>
      <c r="D410" s="9"/>
      <c r="E410" s="9"/>
      <c r="F410" s="9"/>
      <c r="G410" s="9"/>
      <c r="H410" s="9"/>
      <c r="I410" s="24"/>
      <c r="J410" s="9"/>
      <c r="K410" s="9"/>
      <c r="L410" s="20">
        <f>IF(AND(ISNUMBER($A410),$B410&lt;&gt;"",$D410&lt;&gt;"Examen partiel (ne relance pas)"),IF($A410&lt;=TODAY(),$A410,0),0)</f>
      </c>
      <c r="M410" s="20">
        <f>IF($L410=0,"",$B410&amp;"|"&amp;$L410)</f>
      </c>
    </row>
    <row r="411" spans="1:13" x14ac:dyDescent="0.25">
      <c r="A411" s="24"/>
      <c r="B411" s="9"/>
      <c r="C411" s="20">
        <f>IF($B411="","",IFERROR(INDEX(Parc!$B$2:$B$301,MATCH($B411,Parc!$A$2:$A$301,0)),"Réf. inconnue"))</f>
      </c>
      <c r="D411" s="9"/>
      <c r="E411" s="9"/>
      <c r="F411" s="9"/>
      <c r="G411" s="9"/>
      <c r="H411" s="9"/>
      <c r="I411" s="24"/>
      <c r="J411" s="9"/>
      <c r="K411" s="9"/>
      <c r="L411" s="20">
        <f>IF(AND(ISNUMBER($A411),$B411&lt;&gt;"",$D411&lt;&gt;"Examen partiel (ne relance pas)"),IF($A411&lt;=TODAY(),$A411,0),0)</f>
      </c>
      <c r="M411" s="20">
        <f>IF($L411=0,"",$B411&amp;"|"&amp;$L411)</f>
      </c>
    </row>
    <row r="412" spans="1:13" x14ac:dyDescent="0.25">
      <c r="A412" s="24"/>
      <c r="B412" s="9"/>
      <c r="C412" s="20">
        <f>IF($B412="","",IFERROR(INDEX(Parc!$B$2:$B$301,MATCH($B412,Parc!$A$2:$A$301,0)),"Réf. inconnue"))</f>
      </c>
      <c r="D412" s="9"/>
      <c r="E412" s="9"/>
      <c r="F412" s="9"/>
      <c r="G412" s="9"/>
      <c r="H412" s="9"/>
      <c r="I412" s="24"/>
      <c r="J412" s="9"/>
      <c r="K412" s="9"/>
      <c r="L412" s="20">
        <f>IF(AND(ISNUMBER($A412),$B412&lt;&gt;"",$D412&lt;&gt;"Examen partiel (ne relance pas)"),IF($A412&lt;=TODAY(),$A412,0),0)</f>
      </c>
      <c r="M412" s="20">
        <f>IF($L412=0,"",$B412&amp;"|"&amp;$L412)</f>
      </c>
    </row>
    <row r="413" spans="1:13" x14ac:dyDescent="0.25">
      <c r="A413" s="24"/>
      <c r="B413" s="9"/>
      <c r="C413" s="20">
        <f>IF($B413="","",IFERROR(INDEX(Parc!$B$2:$B$301,MATCH($B413,Parc!$A$2:$A$301,0)),"Réf. inconnue"))</f>
      </c>
      <c r="D413" s="9"/>
      <c r="E413" s="9"/>
      <c r="F413" s="9"/>
      <c r="G413" s="9"/>
      <c r="H413" s="9"/>
      <c r="I413" s="24"/>
      <c r="J413" s="9"/>
      <c r="K413" s="9"/>
      <c r="L413" s="20">
        <f>IF(AND(ISNUMBER($A413),$B413&lt;&gt;"",$D413&lt;&gt;"Examen partiel (ne relance pas)"),IF($A413&lt;=TODAY(),$A413,0),0)</f>
      </c>
      <c r="M413" s="20">
        <f>IF($L413=0,"",$B413&amp;"|"&amp;$L413)</f>
      </c>
    </row>
    <row r="414" spans="1:13" x14ac:dyDescent="0.25">
      <c r="A414" s="24"/>
      <c r="B414" s="9"/>
      <c r="C414" s="20">
        <f>IF($B414="","",IFERROR(INDEX(Parc!$B$2:$B$301,MATCH($B414,Parc!$A$2:$A$301,0)),"Réf. inconnue"))</f>
      </c>
      <c r="D414" s="9"/>
      <c r="E414" s="9"/>
      <c r="F414" s="9"/>
      <c r="G414" s="9"/>
      <c r="H414" s="9"/>
      <c r="I414" s="24"/>
      <c r="J414" s="9"/>
      <c r="K414" s="9"/>
      <c r="L414" s="20">
        <f>IF(AND(ISNUMBER($A414),$B414&lt;&gt;"",$D414&lt;&gt;"Examen partiel (ne relance pas)"),IF($A414&lt;=TODAY(),$A414,0),0)</f>
      </c>
      <c r="M414" s="20">
        <f>IF($L414=0,"",$B414&amp;"|"&amp;$L414)</f>
      </c>
    </row>
    <row r="415" spans="1:13" x14ac:dyDescent="0.25">
      <c r="A415" s="24"/>
      <c r="B415" s="9"/>
      <c r="C415" s="20">
        <f>IF($B415="","",IFERROR(INDEX(Parc!$B$2:$B$301,MATCH($B415,Parc!$A$2:$A$301,0)),"Réf. inconnue"))</f>
      </c>
      <c r="D415" s="9"/>
      <c r="E415" s="9"/>
      <c r="F415" s="9"/>
      <c r="G415" s="9"/>
      <c r="H415" s="9"/>
      <c r="I415" s="24"/>
      <c r="J415" s="9"/>
      <c r="K415" s="9"/>
      <c r="L415" s="20">
        <f>IF(AND(ISNUMBER($A415),$B415&lt;&gt;"",$D415&lt;&gt;"Examen partiel (ne relance pas)"),IF($A415&lt;=TODAY(),$A415,0),0)</f>
      </c>
      <c r="M415" s="20">
        <f>IF($L415=0,"",$B415&amp;"|"&amp;$L415)</f>
      </c>
    </row>
    <row r="416" spans="1:13" x14ac:dyDescent="0.25">
      <c r="A416" s="24"/>
      <c r="B416" s="9"/>
      <c r="C416" s="20">
        <f>IF($B416="","",IFERROR(INDEX(Parc!$B$2:$B$301,MATCH($B416,Parc!$A$2:$A$301,0)),"Réf. inconnue"))</f>
      </c>
      <c r="D416" s="9"/>
      <c r="E416" s="9"/>
      <c r="F416" s="9"/>
      <c r="G416" s="9"/>
      <c r="H416" s="9"/>
      <c r="I416" s="24"/>
      <c r="J416" s="9"/>
      <c r="K416" s="9"/>
      <c r="L416" s="20">
        <f>IF(AND(ISNUMBER($A416),$B416&lt;&gt;"",$D416&lt;&gt;"Examen partiel (ne relance pas)"),IF($A416&lt;=TODAY(),$A416,0),0)</f>
      </c>
      <c r="M416" s="20">
        <f>IF($L416=0,"",$B416&amp;"|"&amp;$L416)</f>
      </c>
    </row>
    <row r="417" spans="1:13" x14ac:dyDescent="0.25">
      <c r="A417" s="24"/>
      <c r="B417" s="9"/>
      <c r="C417" s="20">
        <f>IF($B417="","",IFERROR(INDEX(Parc!$B$2:$B$301,MATCH($B417,Parc!$A$2:$A$301,0)),"Réf. inconnue"))</f>
      </c>
      <c r="D417" s="9"/>
      <c r="E417" s="9"/>
      <c r="F417" s="9"/>
      <c r="G417" s="9"/>
      <c r="H417" s="9"/>
      <c r="I417" s="24"/>
      <c r="J417" s="9"/>
      <c r="K417" s="9"/>
      <c r="L417" s="20">
        <f>IF(AND(ISNUMBER($A417),$B417&lt;&gt;"",$D417&lt;&gt;"Examen partiel (ne relance pas)"),IF($A417&lt;=TODAY(),$A417,0),0)</f>
      </c>
      <c r="M417" s="20">
        <f>IF($L417=0,"",$B417&amp;"|"&amp;$L417)</f>
      </c>
    </row>
    <row r="418" spans="1:13" x14ac:dyDescent="0.25">
      <c r="A418" s="24"/>
      <c r="B418" s="9"/>
      <c r="C418" s="20">
        <f>IF($B418="","",IFERROR(INDEX(Parc!$B$2:$B$301,MATCH($B418,Parc!$A$2:$A$301,0)),"Réf. inconnue"))</f>
      </c>
      <c r="D418" s="9"/>
      <c r="E418" s="9"/>
      <c r="F418" s="9"/>
      <c r="G418" s="9"/>
      <c r="H418" s="9"/>
      <c r="I418" s="24"/>
      <c r="J418" s="9"/>
      <c r="K418" s="9"/>
      <c r="L418" s="20">
        <f>IF(AND(ISNUMBER($A418),$B418&lt;&gt;"",$D418&lt;&gt;"Examen partiel (ne relance pas)"),IF($A418&lt;=TODAY(),$A418,0),0)</f>
      </c>
      <c r="M418" s="20">
        <f>IF($L418=0,"",$B418&amp;"|"&amp;$L418)</f>
      </c>
    </row>
    <row r="419" spans="1:13" x14ac:dyDescent="0.25">
      <c r="A419" s="24"/>
      <c r="B419" s="9"/>
      <c r="C419" s="20">
        <f>IF($B419="","",IFERROR(INDEX(Parc!$B$2:$B$301,MATCH($B419,Parc!$A$2:$A$301,0)),"Réf. inconnue"))</f>
      </c>
      <c r="D419" s="9"/>
      <c r="E419" s="9"/>
      <c r="F419" s="9"/>
      <c r="G419" s="9"/>
      <c r="H419" s="9"/>
      <c r="I419" s="24"/>
      <c r="J419" s="9"/>
      <c r="K419" s="9"/>
      <c r="L419" s="20">
        <f>IF(AND(ISNUMBER($A419),$B419&lt;&gt;"",$D419&lt;&gt;"Examen partiel (ne relance pas)"),IF($A419&lt;=TODAY(),$A419,0),0)</f>
      </c>
      <c r="M419" s="20">
        <f>IF($L419=0,"",$B419&amp;"|"&amp;$L419)</f>
      </c>
    </row>
    <row r="420" spans="1:13" x14ac:dyDescent="0.25">
      <c r="A420" s="24"/>
      <c r="B420" s="9"/>
      <c r="C420" s="20">
        <f>IF($B420="","",IFERROR(INDEX(Parc!$B$2:$B$301,MATCH($B420,Parc!$A$2:$A$301,0)),"Réf. inconnue"))</f>
      </c>
      <c r="D420" s="9"/>
      <c r="E420" s="9"/>
      <c r="F420" s="9"/>
      <c r="G420" s="9"/>
      <c r="H420" s="9"/>
      <c r="I420" s="24"/>
      <c r="J420" s="9"/>
      <c r="K420" s="9"/>
      <c r="L420" s="20">
        <f>IF(AND(ISNUMBER($A420),$B420&lt;&gt;"",$D420&lt;&gt;"Examen partiel (ne relance pas)"),IF($A420&lt;=TODAY(),$A420,0),0)</f>
      </c>
      <c r="M420" s="20">
        <f>IF($L420=0,"",$B420&amp;"|"&amp;$L420)</f>
      </c>
    </row>
    <row r="421" spans="1:13" x14ac:dyDescent="0.25">
      <c r="A421" s="24"/>
      <c r="B421" s="9"/>
      <c r="C421" s="20">
        <f>IF($B421="","",IFERROR(INDEX(Parc!$B$2:$B$301,MATCH($B421,Parc!$A$2:$A$301,0)),"Réf. inconnue"))</f>
      </c>
      <c r="D421" s="9"/>
      <c r="E421" s="9"/>
      <c r="F421" s="9"/>
      <c r="G421" s="9"/>
      <c r="H421" s="9"/>
      <c r="I421" s="24"/>
      <c r="J421" s="9"/>
      <c r="K421" s="9"/>
      <c r="L421" s="20">
        <f>IF(AND(ISNUMBER($A421),$B421&lt;&gt;"",$D421&lt;&gt;"Examen partiel (ne relance pas)"),IF($A421&lt;=TODAY(),$A421,0),0)</f>
      </c>
      <c r="M421" s="20">
        <f>IF($L421=0,"",$B421&amp;"|"&amp;$L421)</f>
      </c>
    </row>
    <row r="422" spans="1:13" x14ac:dyDescent="0.25">
      <c r="A422" s="24"/>
      <c r="B422" s="9"/>
      <c r="C422" s="20">
        <f>IF($B422="","",IFERROR(INDEX(Parc!$B$2:$B$301,MATCH($B422,Parc!$A$2:$A$301,0)),"Réf. inconnue"))</f>
      </c>
      <c r="D422" s="9"/>
      <c r="E422" s="9"/>
      <c r="F422" s="9"/>
      <c r="G422" s="9"/>
      <c r="H422" s="9"/>
      <c r="I422" s="24"/>
      <c r="J422" s="9"/>
      <c r="K422" s="9"/>
      <c r="L422" s="20">
        <f>IF(AND(ISNUMBER($A422),$B422&lt;&gt;"",$D422&lt;&gt;"Examen partiel (ne relance pas)"),IF($A422&lt;=TODAY(),$A422,0),0)</f>
      </c>
      <c r="M422" s="20">
        <f>IF($L422=0,"",$B422&amp;"|"&amp;$L422)</f>
      </c>
    </row>
    <row r="423" spans="1:13" x14ac:dyDescent="0.25">
      <c r="A423" s="24"/>
      <c r="B423" s="9"/>
      <c r="C423" s="20">
        <f>IF($B423="","",IFERROR(INDEX(Parc!$B$2:$B$301,MATCH($B423,Parc!$A$2:$A$301,0)),"Réf. inconnue"))</f>
      </c>
      <c r="D423" s="9"/>
      <c r="E423" s="9"/>
      <c r="F423" s="9"/>
      <c r="G423" s="9"/>
      <c r="H423" s="9"/>
      <c r="I423" s="24"/>
      <c r="J423" s="9"/>
      <c r="K423" s="9"/>
      <c r="L423" s="20">
        <f>IF(AND(ISNUMBER($A423),$B423&lt;&gt;"",$D423&lt;&gt;"Examen partiel (ne relance pas)"),IF($A423&lt;=TODAY(),$A423,0),0)</f>
      </c>
      <c r="M423" s="20">
        <f>IF($L423=0,"",$B423&amp;"|"&amp;$L423)</f>
      </c>
    </row>
    <row r="424" spans="1:13" x14ac:dyDescent="0.25">
      <c r="A424" s="24"/>
      <c r="B424" s="9"/>
      <c r="C424" s="20">
        <f>IF($B424="","",IFERROR(INDEX(Parc!$B$2:$B$301,MATCH($B424,Parc!$A$2:$A$301,0)),"Réf. inconnue"))</f>
      </c>
      <c r="D424" s="9"/>
      <c r="E424" s="9"/>
      <c r="F424" s="9"/>
      <c r="G424" s="9"/>
      <c r="H424" s="9"/>
      <c r="I424" s="24"/>
      <c r="J424" s="9"/>
      <c r="K424" s="9"/>
      <c r="L424" s="20">
        <f>IF(AND(ISNUMBER($A424),$B424&lt;&gt;"",$D424&lt;&gt;"Examen partiel (ne relance pas)"),IF($A424&lt;=TODAY(),$A424,0),0)</f>
      </c>
      <c r="M424" s="20">
        <f>IF($L424=0,"",$B424&amp;"|"&amp;$L424)</f>
      </c>
    </row>
    <row r="425" spans="1:13" x14ac:dyDescent="0.25">
      <c r="A425" s="24"/>
      <c r="B425" s="9"/>
      <c r="C425" s="20">
        <f>IF($B425="","",IFERROR(INDEX(Parc!$B$2:$B$301,MATCH($B425,Parc!$A$2:$A$301,0)),"Réf. inconnue"))</f>
      </c>
      <c r="D425" s="9"/>
      <c r="E425" s="9"/>
      <c r="F425" s="9"/>
      <c r="G425" s="9"/>
      <c r="H425" s="9"/>
      <c r="I425" s="24"/>
      <c r="J425" s="9"/>
      <c r="K425" s="9"/>
      <c r="L425" s="20">
        <f>IF(AND(ISNUMBER($A425),$B425&lt;&gt;"",$D425&lt;&gt;"Examen partiel (ne relance pas)"),IF($A425&lt;=TODAY(),$A425,0),0)</f>
      </c>
      <c r="M425" s="20">
        <f>IF($L425=0,"",$B425&amp;"|"&amp;$L425)</f>
      </c>
    </row>
    <row r="426" spans="1:13" x14ac:dyDescent="0.25">
      <c r="A426" s="24"/>
      <c r="B426" s="9"/>
      <c r="C426" s="20">
        <f>IF($B426="","",IFERROR(INDEX(Parc!$B$2:$B$301,MATCH($B426,Parc!$A$2:$A$301,0)),"Réf. inconnue"))</f>
      </c>
      <c r="D426" s="9"/>
      <c r="E426" s="9"/>
      <c r="F426" s="9"/>
      <c r="G426" s="9"/>
      <c r="H426" s="9"/>
      <c r="I426" s="24"/>
      <c r="J426" s="9"/>
      <c r="K426" s="9"/>
      <c r="L426" s="20">
        <f>IF(AND(ISNUMBER($A426),$B426&lt;&gt;"",$D426&lt;&gt;"Examen partiel (ne relance pas)"),IF($A426&lt;=TODAY(),$A426,0),0)</f>
      </c>
      <c r="M426" s="20">
        <f>IF($L426=0,"",$B426&amp;"|"&amp;$L426)</f>
      </c>
    </row>
    <row r="427" spans="1:13" x14ac:dyDescent="0.25">
      <c r="A427" s="24"/>
      <c r="B427" s="9"/>
      <c r="C427" s="20">
        <f>IF($B427="","",IFERROR(INDEX(Parc!$B$2:$B$301,MATCH($B427,Parc!$A$2:$A$301,0)),"Réf. inconnue"))</f>
      </c>
      <c r="D427" s="9"/>
      <c r="E427" s="9"/>
      <c r="F427" s="9"/>
      <c r="G427" s="9"/>
      <c r="H427" s="9"/>
      <c r="I427" s="24"/>
      <c r="J427" s="9"/>
      <c r="K427" s="9"/>
      <c r="L427" s="20">
        <f>IF(AND(ISNUMBER($A427),$B427&lt;&gt;"",$D427&lt;&gt;"Examen partiel (ne relance pas)"),IF($A427&lt;=TODAY(),$A427,0),0)</f>
      </c>
      <c r="M427" s="20">
        <f>IF($L427=0,"",$B427&amp;"|"&amp;$L427)</f>
      </c>
    </row>
    <row r="428" spans="1:13" x14ac:dyDescent="0.25">
      <c r="A428" s="24"/>
      <c r="B428" s="9"/>
      <c r="C428" s="20">
        <f>IF($B428="","",IFERROR(INDEX(Parc!$B$2:$B$301,MATCH($B428,Parc!$A$2:$A$301,0)),"Réf. inconnue"))</f>
      </c>
      <c r="D428" s="9"/>
      <c r="E428" s="9"/>
      <c r="F428" s="9"/>
      <c r="G428" s="9"/>
      <c r="H428" s="9"/>
      <c r="I428" s="24"/>
      <c r="J428" s="9"/>
      <c r="K428" s="9"/>
      <c r="L428" s="20">
        <f>IF(AND(ISNUMBER($A428),$B428&lt;&gt;"",$D428&lt;&gt;"Examen partiel (ne relance pas)"),IF($A428&lt;=TODAY(),$A428,0),0)</f>
      </c>
      <c r="M428" s="20">
        <f>IF($L428=0,"",$B428&amp;"|"&amp;$L428)</f>
      </c>
    </row>
    <row r="429" spans="1:13" x14ac:dyDescent="0.25">
      <c r="A429" s="24"/>
      <c r="B429" s="9"/>
      <c r="C429" s="20">
        <f>IF($B429="","",IFERROR(INDEX(Parc!$B$2:$B$301,MATCH($B429,Parc!$A$2:$A$301,0)),"Réf. inconnue"))</f>
      </c>
      <c r="D429" s="9"/>
      <c r="E429" s="9"/>
      <c r="F429" s="9"/>
      <c r="G429" s="9"/>
      <c r="H429" s="9"/>
      <c r="I429" s="24"/>
      <c r="J429" s="9"/>
      <c r="K429" s="9"/>
      <c r="L429" s="20">
        <f>IF(AND(ISNUMBER($A429),$B429&lt;&gt;"",$D429&lt;&gt;"Examen partiel (ne relance pas)"),IF($A429&lt;=TODAY(),$A429,0),0)</f>
      </c>
      <c r="M429" s="20">
        <f>IF($L429=0,"",$B429&amp;"|"&amp;$L429)</f>
      </c>
    </row>
    <row r="430" spans="1:13" x14ac:dyDescent="0.25">
      <c r="A430" s="24"/>
      <c r="B430" s="9"/>
      <c r="C430" s="20">
        <f>IF($B430="","",IFERROR(INDEX(Parc!$B$2:$B$301,MATCH($B430,Parc!$A$2:$A$301,0)),"Réf. inconnue"))</f>
      </c>
      <c r="D430" s="9"/>
      <c r="E430" s="9"/>
      <c r="F430" s="9"/>
      <c r="G430" s="9"/>
      <c r="H430" s="9"/>
      <c r="I430" s="24"/>
      <c r="J430" s="9"/>
      <c r="K430" s="9"/>
      <c r="L430" s="20">
        <f>IF(AND(ISNUMBER($A430),$B430&lt;&gt;"",$D430&lt;&gt;"Examen partiel (ne relance pas)"),IF($A430&lt;=TODAY(),$A430,0),0)</f>
      </c>
      <c r="M430" s="20">
        <f>IF($L430=0,"",$B430&amp;"|"&amp;$L430)</f>
      </c>
    </row>
    <row r="431" spans="1:13" x14ac:dyDescent="0.25">
      <c r="A431" s="24"/>
      <c r="B431" s="9"/>
      <c r="C431" s="20">
        <f>IF($B431="","",IFERROR(INDEX(Parc!$B$2:$B$301,MATCH($B431,Parc!$A$2:$A$301,0)),"Réf. inconnue"))</f>
      </c>
      <c r="D431" s="9"/>
      <c r="E431" s="9"/>
      <c r="F431" s="9"/>
      <c r="G431" s="9"/>
      <c r="H431" s="9"/>
      <c r="I431" s="24"/>
      <c r="J431" s="9"/>
      <c r="K431" s="9"/>
      <c r="L431" s="20">
        <f>IF(AND(ISNUMBER($A431),$B431&lt;&gt;"",$D431&lt;&gt;"Examen partiel (ne relance pas)"),IF($A431&lt;=TODAY(),$A431,0),0)</f>
      </c>
      <c r="M431" s="20">
        <f>IF($L431=0,"",$B431&amp;"|"&amp;$L431)</f>
      </c>
    </row>
    <row r="432" spans="1:13" x14ac:dyDescent="0.25">
      <c r="A432" s="24"/>
      <c r="B432" s="9"/>
      <c r="C432" s="20">
        <f>IF($B432="","",IFERROR(INDEX(Parc!$B$2:$B$301,MATCH($B432,Parc!$A$2:$A$301,0)),"Réf. inconnue"))</f>
      </c>
      <c r="D432" s="9"/>
      <c r="E432" s="9"/>
      <c r="F432" s="9"/>
      <c r="G432" s="9"/>
      <c r="H432" s="9"/>
      <c r="I432" s="24"/>
      <c r="J432" s="9"/>
      <c r="K432" s="9"/>
      <c r="L432" s="20">
        <f>IF(AND(ISNUMBER($A432),$B432&lt;&gt;"",$D432&lt;&gt;"Examen partiel (ne relance pas)"),IF($A432&lt;=TODAY(),$A432,0),0)</f>
      </c>
      <c r="M432" s="20">
        <f>IF($L432=0,"",$B432&amp;"|"&amp;$L432)</f>
      </c>
    </row>
    <row r="433" spans="1:13" x14ac:dyDescent="0.25">
      <c r="A433" s="24"/>
      <c r="B433" s="9"/>
      <c r="C433" s="20">
        <f>IF($B433="","",IFERROR(INDEX(Parc!$B$2:$B$301,MATCH($B433,Parc!$A$2:$A$301,0)),"Réf. inconnue"))</f>
      </c>
      <c r="D433" s="9"/>
      <c r="E433" s="9"/>
      <c r="F433" s="9"/>
      <c r="G433" s="9"/>
      <c r="H433" s="9"/>
      <c r="I433" s="24"/>
      <c r="J433" s="9"/>
      <c r="K433" s="9"/>
      <c r="L433" s="20">
        <f>IF(AND(ISNUMBER($A433),$B433&lt;&gt;"",$D433&lt;&gt;"Examen partiel (ne relance pas)"),IF($A433&lt;=TODAY(),$A433,0),0)</f>
      </c>
      <c r="M433" s="20">
        <f>IF($L433=0,"",$B433&amp;"|"&amp;$L433)</f>
      </c>
    </row>
    <row r="434" spans="1:13" x14ac:dyDescent="0.25">
      <c r="A434" s="24"/>
      <c r="B434" s="9"/>
      <c r="C434" s="20">
        <f>IF($B434="","",IFERROR(INDEX(Parc!$B$2:$B$301,MATCH($B434,Parc!$A$2:$A$301,0)),"Réf. inconnue"))</f>
      </c>
      <c r="D434" s="9"/>
      <c r="E434" s="9"/>
      <c r="F434" s="9"/>
      <c r="G434" s="9"/>
      <c r="H434" s="9"/>
      <c r="I434" s="24"/>
      <c r="J434" s="9"/>
      <c r="K434" s="9"/>
      <c r="L434" s="20">
        <f>IF(AND(ISNUMBER($A434),$B434&lt;&gt;"",$D434&lt;&gt;"Examen partiel (ne relance pas)"),IF($A434&lt;=TODAY(),$A434,0),0)</f>
      </c>
      <c r="M434" s="20">
        <f>IF($L434=0,"",$B434&amp;"|"&amp;$L434)</f>
      </c>
    </row>
    <row r="435" spans="1:13" x14ac:dyDescent="0.25">
      <c r="A435" s="24"/>
      <c r="B435" s="9"/>
      <c r="C435" s="20">
        <f>IF($B435="","",IFERROR(INDEX(Parc!$B$2:$B$301,MATCH($B435,Parc!$A$2:$A$301,0)),"Réf. inconnue"))</f>
      </c>
      <c r="D435" s="9"/>
      <c r="E435" s="9"/>
      <c r="F435" s="9"/>
      <c r="G435" s="9"/>
      <c r="H435" s="9"/>
      <c r="I435" s="24"/>
      <c r="J435" s="9"/>
      <c r="K435" s="9"/>
      <c r="L435" s="20">
        <f>IF(AND(ISNUMBER($A435),$B435&lt;&gt;"",$D435&lt;&gt;"Examen partiel (ne relance pas)"),IF($A435&lt;=TODAY(),$A435,0),0)</f>
      </c>
      <c r="M435" s="20">
        <f>IF($L435=0,"",$B435&amp;"|"&amp;$L435)</f>
      </c>
    </row>
    <row r="436" spans="1:13" x14ac:dyDescent="0.25">
      <c r="A436" s="24"/>
      <c r="B436" s="9"/>
      <c r="C436" s="20">
        <f>IF($B436="","",IFERROR(INDEX(Parc!$B$2:$B$301,MATCH($B436,Parc!$A$2:$A$301,0)),"Réf. inconnue"))</f>
      </c>
      <c r="D436" s="9"/>
      <c r="E436" s="9"/>
      <c r="F436" s="9"/>
      <c r="G436" s="9"/>
      <c r="H436" s="9"/>
      <c r="I436" s="24"/>
      <c r="J436" s="9"/>
      <c r="K436" s="9"/>
      <c r="L436" s="20">
        <f>IF(AND(ISNUMBER($A436),$B436&lt;&gt;"",$D436&lt;&gt;"Examen partiel (ne relance pas)"),IF($A436&lt;=TODAY(),$A436,0),0)</f>
      </c>
      <c r="M436" s="20">
        <f>IF($L436=0,"",$B436&amp;"|"&amp;$L436)</f>
      </c>
    </row>
    <row r="437" spans="1:13" x14ac:dyDescent="0.25">
      <c r="A437" s="24"/>
      <c r="B437" s="9"/>
      <c r="C437" s="20">
        <f>IF($B437="","",IFERROR(INDEX(Parc!$B$2:$B$301,MATCH($B437,Parc!$A$2:$A$301,0)),"Réf. inconnue"))</f>
      </c>
      <c r="D437" s="9"/>
      <c r="E437" s="9"/>
      <c r="F437" s="9"/>
      <c r="G437" s="9"/>
      <c r="H437" s="9"/>
      <c r="I437" s="24"/>
      <c r="J437" s="9"/>
      <c r="K437" s="9"/>
      <c r="L437" s="20">
        <f>IF(AND(ISNUMBER($A437),$B437&lt;&gt;"",$D437&lt;&gt;"Examen partiel (ne relance pas)"),IF($A437&lt;=TODAY(),$A437,0),0)</f>
      </c>
      <c r="M437" s="20">
        <f>IF($L437=0,"",$B437&amp;"|"&amp;$L437)</f>
      </c>
    </row>
    <row r="438" spans="1:13" x14ac:dyDescent="0.25">
      <c r="A438" s="24"/>
      <c r="B438" s="9"/>
      <c r="C438" s="20">
        <f>IF($B438="","",IFERROR(INDEX(Parc!$B$2:$B$301,MATCH($B438,Parc!$A$2:$A$301,0)),"Réf. inconnue"))</f>
      </c>
      <c r="D438" s="9"/>
      <c r="E438" s="9"/>
      <c r="F438" s="9"/>
      <c r="G438" s="9"/>
      <c r="H438" s="9"/>
      <c r="I438" s="24"/>
      <c r="J438" s="9"/>
      <c r="K438" s="9"/>
      <c r="L438" s="20">
        <f>IF(AND(ISNUMBER($A438),$B438&lt;&gt;"",$D438&lt;&gt;"Examen partiel (ne relance pas)"),IF($A438&lt;=TODAY(),$A438,0),0)</f>
      </c>
      <c r="M438" s="20">
        <f>IF($L438=0,"",$B438&amp;"|"&amp;$L438)</f>
      </c>
    </row>
    <row r="439" spans="1:13" x14ac:dyDescent="0.25">
      <c r="A439" s="24"/>
      <c r="B439" s="9"/>
      <c r="C439" s="20">
        <f>IF($B439="","",IFERROR(INDEX(Parc!$B$2:$B$301,MATCH($B439,Parc!$A$2:$A$301,0)),"Réf. inconnue"))</f>
      </c>
      <c r="D439" s="9"/>
      <c r="E439" s="9"/>
      <c r="F439" s="9"/>
      <c r="G439" s="9"/>
      <c r="H439" s="9"/>
      <c r="I439" s="24"/>
      <c r="J439" s="9"/>
      <c r="K439" s="9"/>
      <c r="L439" s="20">
        <f>IF(AND(ISNUMBER($A439),$B439&lt;&gt;"",$D439&lt;&gt;"Examen partiel (ne relance pas)"),IF($A439&lt;=TODAY(),$A439,0),0)</f>
      </c>
      <c r="M439" s="20">
        <f>IF($L439=0,"",$B439&amp;"|"&amp;$L439)</f>
      </c>
    </row>
    <row r="440" spans="1:13" x14ac:dyDescent="0.25">
      <c r="A440" s="24"/>
      <c r="B440" s="9"/>
      <c r="C440" s="20">
        <f>IF($B440="","",IFERROR(INDEX(Parc!$B$2:$B$301,MATCH($B440,Parc!$A$2:$A$301,0)),"Réf. inconnue"))</f>
      </c>
      <c r="D440" s="9"/>
      <c r="E440" s="9"/>
      <c r="F440" s="9"/>
      <c r="G440" s="9"/>
      <c r="H440" s="9"/>
      <c r="I440" s="24"/>
      <c r="J440" s="9"/>
      <c r="K440" s="9"/>
      <c r="L440" s="20">
        <f>IF(AND(ISNUMBER($A440),$B440&lt;&gt;"",$D440&lt;&gt;"Examen partiel (ne relance pas)"),IF($A440&lt;=TODAY(),$A440,0),0)</f>
      </c>
      <c r="M440" s="20">
        <f>IF($L440=0,"",$B440&amp;"|"&amp;$L440)</f>
      </c>
    </row>
    <row r="441" spans="1:13" x14ac:dyDescent="0.25">
      <c r="A441" s="24"/>
      <c r="B441" s="9"/>
      <c r="C441" s="20">
        <f>IF($B441="","",IFERROR(INDEX(Parc!$B$2:$B$301,MATCH($B441,Parc!$A$2:$A$301,0)),"Réf. inconnue"))</f>
      </c>
      <c r="D441" s="9"/>
      <c r="E441" s="9"/>
      <c r="F441" s="9"/>
      <c r="G441" s="9"/>
      <c r="H441" s="9"/>
      <c r="I441" s="24"/>
      <c r="J441" s="9"/>
      <c r="K441" s="9"/>
      <c r="L441" s="20">
        <f>IF(AND(ISNUMBER($A441),$B441&lt;&gt;"",$D441&lt;&gt;"Examen partiel (ne relance pas)"),IF($A441&lt;=TODAY(),$A441,0),0)</f>
      </c>
      <c r="M441" s="20">
        <f>IF($L441=0,"",$B441&amp;"|"&amp;$L441)</f>
      </c>
    </row>
    <row r="442" spans="1:13" x14ac:dyDescent="0.25">
      <c r="A442" s="24"/>
      <c r="B442" s="9"/>
      <c r="C442" s="20">
        <f>IF($B442="","",IFERROR(INDEX(Parc!$B$2:$B$301,MATCH($B442,Parc!$A$2:$A$301,0)),"Réf. inconnue"))</f>
      </c>
      <c r="D442" s="9"/>
      <c r="E442" s="9"/>
      <c r="F442" s="9"/>
      <c r="G442" s="9"/>
      <c r="H442" s="9"/>
      <c r="I442" s="24"/>
      <c r="J442" s="9"/>
      <c r="K442" s="9"/>
      <c r="L442" s="20">
        <f>IF(AND(ISNUMBER($A442),$B442&lt;&gt;"",$D442&lt;&gt;"Examen partiel (ne relance pas)"),IF($A442&lt;=TODAY(),$A442,0),0)</f>
      </c>
      <c r="M442" s="20">
        <f>IF($L442=0,"",$B442&amp;"|"&amp;$L442)</f>
      </c>
    </row>
    <row r="443" spans="1:13" x14ac:dyDescent="0.25">
      <c r="A443" s="24"/>
      <c r="B443" s="9"/>
      <c r="C443" s="20">
        <f>IF($B443="","",IFERROR(INDEX(Parc!$B$2:$B$301,MATCH($B443,Parc!$A$2:$A$301,0)),"Réf. inconnue"))</f>
      </c>
      <c r="D443" s="9"/>
      <c r="E443" s="9"/>
      <c r="F443" s="9"/>
      <c r="G443" s="9"/>
      <c r="H443" s="9"/>
      <c r="I443" s="24"/>
      <c r="J443" s="9"/>
      <c r="K443" s="9"/>
      <c r="L443" s="20">
        <f>IF(AND(ISNUMBER($A443),$B443&lt;&gt;"",$D443&lt;&gt;"Examen partiel (ne relance pas)"),IF($A443&lt;=TODAY(),$A443,0),0)</f>
      </c>
      <c r="M443" s="20">
        <f>IF($L443=0,"",$B443&amp;"|"&amp;$L443)</f>
      </c>
    </row>
    <row r="444" spans="1:13" x14ac:dyDescent="0.25">
      <c r="A444" s="24"/>
      <c r="B444" s="9"/>
      <c r="C444" s="20">
        <f>IF($B444="","",IFERROR(INDEX(Parc!$B$2:$B$301,MATCH($B444,Parc!$A$2:$A$301,0)),"Réf. inconnue"))</f>
      </c>
      <c r="D444" s="9"/>
      <c r="E444" s="9"/>
      <c r="F444" s="9"/>
      <c r="G444" s="9"/>
      <c r="H444" s="9"/>
      <c r="I444" s="24"/>
      <c r="J444" s="9"/>
      <c r="K444" s="9"/>
      <c r="L444" s="20">
        <f>IF(AND(ISNUMBER($A444),$B444&lt;&gt;"",$D444&lt;&gt;"Examen partiel (ne relance pas)"),IF($A444&lt;=TODAY(),$A444,0),0)</f>
      </c>
      <c r="M444" s="20">
        <f>IF($L444=0,"",$B444&amp;"|"&amp;$L444)</f>
      </c>
    </row>
    <row r="445" spans="1:13" x14ac:dyDescent="0.25">
      <c r="A445" s="24"/>
      <c r="B445" s="9"/>
      <c r="C445" s="20">
        <f>IF($B445="","",IFERROR(INDEX(Parc!$B$2:$B$301,MATCH($B445,Parc!$A$2:$A$301,0)),"Réf. inconnue"))</f>
      </c>
      <c r="D445" s="9"/>
      <c r="E445" s="9"/>
      <c r="F445" s="9"/>
      <c r="G445" s="9"/>
      <c r="H445" s="9"/>
      <c r="I445" s="24"/>
      <c r="J445" s="9"/>
      <c r="K445" s="9"/>
      <c r="L445" s="20">
        <f>IF(AND(ISNUMBER($A445),$B445&lt;&gt;"",$D445&lt;&gt;"Examen partiel (ne relance pas)"),IF($A445&lt;=TODAY(),$A445,0),0)</f>
      </c>
      <c r="M445" s="20">
        <f>IF($L445=0,"",$B445&amp;"|"&amp;$L445)</f>
      </c>
    </row>
    <row r="446" spans="1:13" x14ac:dyDescent="0.25">
      <c r="A446" s="24"/>
      <c r="B446" s="9"/>
      <c r="C446" s="20">
        <f>IF($B446="","",IFERROR(INDEX(Parc!$B$2:$B$301,MATCH($B446,Parc!$A$2:$A$301,0)),"Réf. inconnue"))</f>
      </c>
      <c r="D446" s="9"/>
      <c r="E446" s="9"/>
      <c r="F446" s="9"/>
      <c r="G446" s="9"/>
      <c r="H446" s="9"/>
      <c r="I446" s="24"/>
      <c r="J446" s="9"/>
      <c r="K446" s="9"/>
      <c r="L446" s="20">
        <f>IF(AND(ISNUMBER($A446),$B446&lt;&gt;"",$D446&lt;&gt;"Examen partiel (ne relance pas)"),IF($A446&lt;=TODAY(),$A446,0),0)</f>
      </c>
      <c r="M446" s="20">
        <f>IF($L446=0,"",$B446&amp;"|"&amp;$L446)</f>
      </c>
    </row>
    <row r="447" spans="1:13" x14ac:dyDescent="0.25">
      <c r="A447" s="24"/>
      <c r="B447" s="9"/>
      <c r="C447" s="20">
        <f>IF($B447="","",IFERROR(INDEX(Parc!$B$2:$B$301,MATCH($B447,Parc!$A$2:$A$301,0)),"Réf. inconnue"))</f>
      </c>
      <c r="D447" s="9"/>
      <c r="E447" s="9"/>
      <c r="F447" s="9"/>
      <c r="G447" s="9"/>
      <c r="H447" s="9"/>
      <c r="I447" s="24"/>
      <c r="J447" s="9"/>
      <c r="K447" s="9"/>
      <c r="L447" s="20">
        <f>IF(AND(ISNUMBER($A447),$B447&lt;&gt;"",$D447&lt;&gt;"Examen partiel (ne relance pas)"),IF($A447&lt;=TODAY(),$A447,0),0)</f>
      </c>
      <c r="M447" s="20">
        <f>IF($L447=0,"",$B447&amp;"|"&amp;$L447)</f>
      </c>
    </row>
    <row r="448" spans="1:13" x14ac:dyDescent="0.25">
      <c r="A448" s="24"/>
      <c r="B448" s="9"/>
      <c r="C448" s="20">
        <f>IF($B448="","",IFERROR(INDEX(Parc!$B$2:$B$301,MATCH($B448,Parc!$A$2:$A$301,0)),"Réf. inconnue"))</f>
      </c>
      <c r="D448" s="9"/>
      <c r="E448" s="9"/>
      <c r="F448" s="9"/>
      <c r="G448" s="9"/>
      <c r="H448" s="9"/>
      <c r="I448" s="24"/>
      <c r="J448" s="9"/>
      <c r="K448" s="9"/>
      <c r="L448" s="20">
        <f>IF(AND(ISNUMBER($A448),$B448&lt;&gt;"",$D448&lt;&gt;"Examen partiel (ne relance pas)"),IF($A448&lt;=TODAY(),$A448,0),0)</f>
      </c>
      <c r="M448" s="20">
        <f>IF($L448=0,"",$B448&amp;"|"&amp;$L448)</f>
      </c>
    </row>
    <row r="449" spans="1:13" x14ac:dyDescent="0.25">
      <c r="A449" s="24"/>
      <c r="B449" s="9"/>
      <c r="C449" s="20">
        <f>IF($B449="","",IFERROR(INDEX(Parc!$B$2:$B$301,MATCH($B449,Parc!$A$2:$A$301,0)),"Réf. inconnue"))</f>
      </c>
      <c r="D449" s="9"/>
      <c r="E449" s="9"/>
      <c r="F449" s="9"/>
      <c r="G449" s="9"/>
      <c r="H449" s="9"/>
      <c r="I449" s="24"/>
      <c r="J449" s="9"/>
      <c r="K449" s="9"/>
      <c r="L449" s="20">
        <f>IF(AND(ISNUMBER($A449),$B449&lt;&gt;"",$D449&lt;&gt;"Examen partiel (ne relance pas)"),IF($A449&lt;=TODAY(),$A449,0),0)</f>
      </c>
      <c r="M449" s="20">
        <f>IF($L449=0,"",$B449&amp;"|"&amp;$L449)</f>
      </c>
    </row>
    <row r="450" spans="1:13" x14ac:dyDescent="0.25">
      <c r="A450" s="24"/>
      <c r="B450" s="9"/>
      <c r="C450" s="20">
        <f>IF($B450="","",IFERROR(INDEX(Parc!$B$2:$B$301,MATCH($B450,Parc!$A$2:$A$301,0)),"Réf. inconnue"))</f>
      </c>
      <c r="D450" s="9"/>
      <c r="E450" s="9"/>
      <c r="F450" s="9"/>
      <c r="G450" s="9"/>
      <c r="H450" s="9"/>
      <c r="I450" s="24"/>
      <c r="J450" s="9"/>
      <c r="K450" s="9"/>
      <c r="L450" s="20">
        <f>IF(AND(ISNUMBER($A450),$B450&lt;&gt;"",$D450&lt;&gt;"Examen partiel (ne relance pas)"),IF($A450&lt;=TODAY(),$A450,0),0)</f>
      </c>
      <c r="M450" s="20">
        <f>IF($L450=0,"",$B450&amp;"|"&amp;$L450)</f>
      </c>
    </row>
    <row r="451" spans="1:13" x14ac:dyDescent="0.25">
      <c r="A451" s="24"/>
      <c r="B451" s="9"/>
      <c r="C451" s="20">
        <f>IF($B451="","",IFERROR(INDEX(Parc!$B$2:$B$301,MATCH($B451,Parc!$A$2:$A$301,0)),"Réf. inconnue"))</f>
      </c>
      <c r="D451" s="9"/>
      <c r="E451" s="9"/>
      <c r="F451" s="9"/>
      <c r="G451" s="9"/>
      <c r="H451" s="9"/>
      <c r="I451" s="24"/>
      <c r="J451" s="9"/>
      <c r="K451" s="9"/>
      <c r="L451" s="20">
        <f>IF(AND(ISNUMBER($A451),$B451&lt;&gt;"",$D451&lt;&gt;"Examen partiel (ne relance pas)"),IF($A451&lt;=TODAY(),$A451,0),0)</f>
      </c>
      <c r="M451" s="20">
        <f>IF($L451=0,"",$B451&amp;"|"&amp;$L451)</f>
      </c>
    </row>
    <row r="452" spans="1:13" x14ac:dyDescent="0.25">
      <c r="A452" s="24"/>
      <c r="B452" s="9"/>
      <c r="C452" s="20">
        <f>IF($B452="","",IFERROR(INDEX(Parc!$B$2:$B$301,MATCH($B452,Parc!$A$2:$A$301,0)),"Réf. inconnue"))</f>
      </c>
      <c r="D452" s="9"/>
      <c r="E452" s="9"/>
      <c r="F452" s="9"/>
      <c r="G452" s="9"/>
      <c r="H452" s="9"/>
      <c r="I452" s="24"/>
      <c r="J452" s="9"/>
      <c r="K452" s="9"/>
      <c r="L452" s="20">
        <f>IF(AND(ISNUMBER($A452),$B452&lt;&gt;"",$D452&lt;&gt;"Examen partiel (ne relance pas)"),IF($A452&lt;=TODAY(),$A452,0),0)</f>
      </c>
      <c r="M452" s="20">
        <f>IF($L452=0,"",$B452&amp;"|"&amp;$L452)</f>
      </c>
    </row>
    <row r="453" spans="1:13" x14ac:dyDescent="0.25">
      <c r="A453" s="24"/>
      <c r="B453" s="9"/>
      <c r="C453" s="20">
        <f>IF($B453="","",IFERROR(INDEX(Parc!$B$2:$B$301,MATCH($B453,Parc!$A$2:$A$301,0)),"Réf. inconnue"))</f>
      </c>
      <c r="D453" s="9"/>
      <c r="E453" s="9"/>
      <c r="F453" s="9"/>
      <c r="G453" s="9"/>
      <c r="H453" s="9"/>
      <c r="I453" s="24"/>
      <c r="J453" s="9"/>
      <c r="K453" s="9"/>
      <c r="L453" s="20">
        <f>IF(AND(ISNUMBER($A453),$B453&lt;&gt;"",$D453&lt;&gt;"Examen partiel (ne relance pas)"),IF($A453&lt;=TODAY(),$A453,0),0)</f>
      </c>
      <c r="M453" s="20">
        <f>IF($L453=0,"",$B453&amp;"|"&amp;$L453)</f>
      </c>
    </row>
    <row r="454" spans="1:13" x14ac:dyDescent="0.25">
      <c r="A454" s="24"/>
      <c r="B454" s="9"/>
      <c r="C454" s="20">
        <f>IF($B454="","",IFERROR(INDEX(Parc!$B$2:$B$301,MATCH($B454,Parc!$A$2:$A$301,0)),"Réf. inconnue"))</f>
      </c>
      <c r="D454" s="9"/>
      <c r="E454" s="9"/>
      <c r="F454" s="9"/>
      <c r="G454" s="9"/>
      <c r="H454" s="9"/>
      <c r="I454" s="24"/>
      <c r="J454" s="9"/>
      <c r="K454" s="9"/>
      <c r="L454" s="20">
        <f>IF(AND(ISNUMBER($A454),$B454&lt;&gt;"",$D454&lt;&gt;"Examen partiel (ne relance pas)"),IF($A454&lt;=TODAY(),$A454,0),0)</f>
      </c>
      <c r="M454" s="20">
        <f>IF($L454=0,"",$B454&amp;"|"&amp;$L454)</f>
      </c>
    </row>
    <row r="455" spans="1:13" x14ac:dyDescent="0.25">
      <c r="A455" s="24"/>
      <c r="B455" s="9"/>
      <c r="C455" s="20">
        <f>IF($B455="","",IFERROR(INDEX(Parc!$B$2:$B$301,MATCH($B455,Parc!$A$2:$A$301,0)),"Réf. inconnue"))</f>
      </c>
      <c r="D455" s="9"/>
      <c r="E455" s="9"/>
      <c r="F455" s="9"/>
      <c r="G455" s="9"/>
      <c r="H455" s="9"/>
      <c r="I455" s="24"/>
      <c r="J455" s="9"/>
      <c r="K455" s="9"/>
      <c r="L455" s="20">
        <f>IF(AND(ISNUMBER($A455),$B455&lt;&gt;"",$D455&lt;&gt;"Examen partiel (ne relance pas)"),IF($A455&lt;=TODAY(),$A455,0),0)</f>
      </c>
      <c r="M455" s="20">
        <f>IF($L455=0,"",$B455&amp;"|"&amp;$L455)</f>
      </c>
    </row>
    <row r="456" spans="1:13" x14ac:dyDescent="0.25">
      <c r="A456" s="24"/>
      <c r="B456" s="9"/>
      <c r="C456" s="20">
        <f>IF($B456="","",IFERROR(INDEX(Parc!$B$2:$B$301,MATCH($B456,Parc!$A$2:$A$301,0)),"Réf. inconnue"))</f>
      </c>
      <c r="D456" s="9"/>
      <c r="E456" s="9"/>
      <c r="F456" s="9"/>
      <c r="G456" s="9"/>
      <c r="H456" s="9"/>
      <c r="I456" s="24"/>
      <c r="J456" s="9"/>
      <c r="K456" s="9"/>
      <c r="L456" s="20">
        <f>IF(AND(ISNUMBER($A456),$B456&lt;&gt;"",$D456&lt;&gt;"Examen partiel (ne relance pas)"),IF($A456&lt;=TODAY(),$A456,0),0)</f>
      </c>
      <c r="M456" s="20">
        <f>IF($L456=0,"",$B456&amp;"|"&amp;$L456)</f>
      </c>
    </row>
    <row r="457" spans="1:13" x14ac:dyDescent="0.25">
      <c r="A457" s="24"/>
      <c r="B457" s="9"/>
      <c r="C457" s="20">
        <f>IF($B457="","",IFERROR(INDEX(Parc!$B$2:$B$301,MATCH($B457,Parc!$A$2:$A$301,0)),"Réf. inconnue"))</f>
      </c>
      <c r="D457" s="9"/>
      <c r="E457" s="9"/>
      <c r="F457" s="9"/>
      <c r="G457" s="9"/>
      <c r="H457" s="9"/>
      <c r="I457" s="24"/>
      <c r="J457" s="9"/>
      <c r="K457" s="9"/>
      <c r="L457" s="20">
        <f>IF(AND(ISNUMBER($A457),$B457&lt;&gt;"",$D457&lt;&gt;"Examen partiel (ne relance pas)"),IF($A457&lt;=TODAY(),$A457,0),0)</f>
      </c>
      <c r="M457" s="20">
        <f>IF($L457=0,"",$B457&amp;"|"&amp;$L457)</f>
      </c>
    </row>
    <row r="458" spans="1:13" x14ac:dyDescent="0.25">
      <c r="A458" s="24"/>
      <c r="B458" s="9"/>
      <c r="C458" s="20">
        <f>IF($B458="","",IFERROR(INDEX(Parc!$B$2:$B$301,MATCH($B458,Parc!$A$2:$A$301,0)),"Réf. inconnue"))</f>
      </c>
      <c r="D458" s="9"/>
      <c r="E458" s="9"/>
      <c r="F458" s="9"/>
      <c r="G458" s="9"/>
      <c r="H458" s="9"/>
      <c r="I458" s="24"/>
      <c r="J458" s="9"/>
      <c r="K458" s="9"/>
      <c r="L458" s="20">
        <f>IF(AND(ISNUMBER($A458),$B458&lt;&gt;"",$D458&lt;&gt;"Examen partiel (ne relance pas)"),IF($A458&lt;=TODAY(),$A458,0),0)</f>
      </c>
      <c r="M458" s="20">
        <f>IF($L458=0,"",$B458&amp;"|"&amp;$L458)</f>
      </c>
    </row>
    <row r="459" spans="1:13" x14ac:dyDescent="0.25">
      <c r="A459" s="24"/>
      <c r="B459" s="9"/>
      <c r="C459" s="20">
        <f>IF($B459="","",IFERROR(INDEX(Parc!$B$2:$B$301,MATCH($B459,Parc!$A$2:$A$301,0)),"Réf. inconnue"))</f>
      </c>
      <c r="D459" s="9"/>
      <c r="E459" s="9"/>
      <c r="F459" s="9"/>
      <c r="G459" s="9"/>
      <c r="H459" s="9"/>
      <c r="I459" s="24"/>
      <c r="J459" s="9"/>
      <c r="K459" s="9"/>
      <c r="L459" s="20">
        <f>IF(AND(ISNUMBER($A459),$B459&lt;&gt;"",$D459&lt;&gt;"Examen partiel (ne relance pas)"),IF($A459&lt;=TODAY(),$A459,0),0)</f>
      </c>
      <c r="M459" s="20">
        <f>IF($L459=0,"",$B459&amp;"|"&amp;$L459)</f>
      </c>
    </row>
    <row r="460" spans="1:13" x14ac:dyDescent="0.25">
      <c r="A460" s="24"/>
      <c r="B460" s="9"/>
      <c r="C460" s="20">
        <f>IF($B460="","",IFERROR(INDEX(Parc!$B$2:$B$301,MATCH($B460,Parc!$A$2:$A$301,0)),"Réf. inconnue"))</f>
      </c>
      <c r="D460" s="9"/>
      <c r="E460" s="9"/>
      <c r="F460" s="9"/>
      <c r="G460" s="9"/>
      <c r="H460" s="9"/>
      <c r="I460" s="24"/>
      <c r="J460" s="9"/>
      <c r="K460" s="9"/>
      <c r="L460" s="20">
        <f>IF(AND(ISNUMBER($A460),$B460&lt;&gt;"",$D460&lt;&gt;"Examen partiel (ne relance pas)"),IF($A460&lt;=TODAY(),$A460,0),0)</f>
      </c>
      <c r="M460" s="20">
        <f>IF($L460=0,"",$B460&amp;"|"&amp;$L460)</f>
      </c>
    </row>
    <row r="461" spans="1:13" x14ac:dyDescent="0.25">
      <c r="A461" s="24"/>
      <c r="B461" s="9"/>
      <c r="C461" s="20">
        <f>IF($B461="","",IFERROR(INDEX(Parc!$B$2:$B$301,MATCH($B461,Parc!$A$2:$A$301,0)),"Réf. inconnue"))</f>
      </c>
      <c r="D461" s="9"/>
      <c r="E461" s="9"/>
      <c r="F461" s="9"/>
      <c r="G461" s="9"/>
      <c r="H461" s="9"/>
      <c r="I461" s="24"/>
      <c r="J461" s="9"/>
      <c r="K461" s="9"/>
      <c r="L461" s="20">
        <f>IF(AND(ISNUMBER($A461),$B461&lt;&gt;"",$D461&lt;&gt;"Examen partiel (ne relance pas)"),IF($A461&lt;=TODAY(),$A461,0),0)</f>
      </c>
      <c r="M461" s="20">
        <f>IF($L461=0,"",$B461&amp;"|"&amp;$L461)</f>
      </c>
    </row>
    <row r="462" spans="1:13" x14ac:dyDescent="0.25">
      <c r="A462" s="24"/>
      <c r="B462" s="9"/>
      <c r="C462" s="20">
        <f>IF($B462="","",IFERROR(INDEX(Parc!$B$2:$B$301,MATCH($B462,Parc!$A$2:$A$301,0)),"Réf. inconnue"))</f>
      </c>
      <c r="D462" s="9"/>
      <c r="E462" s="9"/>
      <c r="F462" s="9"/>
      <c r="G462" s="9"/>
      <c r="H462" s="9"/>
      <c r="I462" s="24"/>
      <c r="J462" s="9"/>
      <c r="K462" s="9"/>
      <c r="L462" s="20">
        <f>IF(AND(ISNUMBER($A462),$B462&lt;&gt;"",$D462&lt;&gt;"Examen partiel (ne relance pas)"),IF($A462&lt;=TODAY(),$A462,0),0)</f>
      </c>
      <c r="M462" s="20">
        <f>IF($L462=0,"",$B462&amp;"|"&amp;$L462)</f>
      </c>
    </row>
    <row r="463" spans="1:13" x14ac:dyDescent="0.25">
      <c r="A463" s="24"/>
      <c r="B463" s="9"/>
      <c r="C463" s="20">
        <f>IF($B463="","",IFERROR(INDEX(Parc!$B$2:$B$301,MATCH($B463,Parc!$A$2:$A$301,0)),"Réf. inconnue"))</f>
      </c>
      <c r="D463" s="9"/>
      <c r="E463" s="9"/>
      <c r="F463" s="9"/>
      <c r="G463" s="9"/>
      <c r="H463" s="9"/>
      <c r="I463" s="24"/>
      <c r="J463" s="9"/>
      <c r="K463" s="9"/>
      <c r="L463" s="20">
        <f>IF(AND(ISNUMBER($A463),$B463&lt;&gt;"",$D463&lt;&gt;"Examen partiel (ne relance pas)"),IF($A463&lt;=TODAY(),$A463,0),0)</f>
      </c>
      <c r="M463" s="20">
        <f>IF($L463=0,"",$B463&amp;"|"&amp;$L463)</f>
      </c>
    </row>
    <row r="464" spans="1:13" x14ac:dyDescent="0.25">
      <c r="A464" s="24"/>
      <c r="B464" s="9"/>
      <c r="C464" s="20">
        <f>IF($B464="","",IFERROR(INDEX(Parc!$B$2:$B$301,MATCH($B464,Parc!$A$2:$A$301,0)),"Réf. inconnue"))</f>
      </c>
      <c r="D464" s="9"/>
      <c r="E464" s="9"/>
      <c r="F464" s="9"/>
      <c r="G464" s="9"/>
      <c r="H464" s="9"/>
      <c r="I464" s="24"/>
      <c r="J464" s="9"/>
      <c r="K464" s="9"/>
      <c r="L464" s="20">
        <f>IF(AND(ISNUMBER($A464),$B464&lt;&gt;"",$D464&lt;&gt;"Examen partiel (ne relance pas)"),IF($A464&lt;=TODAY(),$A464,0),0)</f>
      </c>
      <c r="M464" s="20">
        <f>IF($L464=0,"",$B464&amp;"|"&amp;$L464)</f>
      </c>
    </row>
    <row r="465" spans="1:13" x14ac:dyDescent="0.25">
      <c r="A465" s="24"/>
      <c r="B465" s="9"/>
      <c r="C465" s="20">
        <f>IF($B465="","",IFERROR(INDEX(Parc!$B$2:$B$301,MATCH($B465,Parc!$A$2:$A$301,0)),"Réf. inconnue"))</f>
      </c>
      <c r="D465" s="9"/>
      <c r="E465" s="9"/>
      <c r="F465" s="9"/>
      <c r="G465" s="9"/>
      <c r="H465" s="9"/>
      <c r="I465" s="24"/>
      <c r="J465" s="9"/>
      <c r="K465" s="9"/>
      <c r="L465" s="20">
        <f>IF(AND(ISNUMBER($A465),$B465&lt;&gt;"",$D465&lt;&gt;"Examen partiel (ne relance pas)"),IF($A465&lt;=TODAY(),$A465,0),0)</f>
      </c>
      <c r="M465" s="20">
        <f>IF($L465=0,"",$B465&amp;"|"&amp;$L465)</f>
      </c>
    </row>
    <row r="466" spans="1:13" x14ac:dyDescent="0.25">
      <c r="A466" s="24"/>
      <c r="B466" s="9"/>
      <c r="C466" s="20">
        <f>IF($B466="","",IFERROR(INDEX(Parc!$B$2:$B$301,MATCH($B466,Parc!$A$2:$A$301,0)),"Réf. inconnue"))</f>
      </c>
      <c r="D466" s="9"/>
      <c r="E466" s="9"/>
      <c r="F466" s="9"/>
      <c r="G466" s="9"/>
      <c r="H466" s="9"/>
      <c r="I466" s="24"/>
      <c r="J466" s="9"/>
      <c r="K466" s="9"/>
      <c r="L466" s="20">
        <f>IF(AND(ISNUMBER($A466),$B466&lt;&gt;"",$D466&lt;&gt;"Examen partiel (ne relance pas)"),IF($A466&lt;=TODAY(),$A466,0),0)</f>
      </c>
      <c r="M466" s="20">
        <f>IF($L466=0,"",$B466&amp;"|"&amp;$L466)</f>
      </c>
    </row>
    <row r="467" spans="1:13" x14ac:dyDescent="0.25">
      <c r="A467" s="24"/>
      <c r="B467" s="9"/>
      <c r="C467" s="20">
        <f>IF($B467="","",IFERROR(INDEX(Parc!$B$2:$B$301,MATCH($B467,Parc!$A$2:$A$301,0)),"Réf. inconnue"))</f>
      </c>
      <c r="D467" s="9"/>
      <c r="E467" s="9"/>
      <c r="F467" s="9"/>
      <c r="G467" s="9"/>
      <c r="H467" s="9"/>
      <c r="I467" s="24"/>
      <c r="J467" s="9"/>
      <c r="K467" s="9"/>
      <c r="L467" s="20">
        <f>IF(AND(ISNUMBER($A467),$B467&lt;&gt;"",$D467&lt;&gt;"Examen partiel (ne relance pas)"),IF($A467&lt;=TODAY(),$A467,0),0)</f>
      </c>
      <c r="M467" s="20">
        <f>IF($L467=0,"",$B467&amp;"|"&amp;$L467)</f>
      </c>
    </row>
    <row r="468" spans="1:13" x14ac:dyDescent="0.25">
      <c r="A468" s="24"/>
      <c r="B468" s="9"/>
      <c r="C468" s="20">
        <f>IF($B468="","",IFERROR(INDEX(Parc!$B$2:$B$301,MATCH($B468,Parc!$A$2:$A$301,0)),"Réf. inconnue"))</f>
      </c>
      <c r="D468" s="9"/>
      <c r="E468" s="9"/>
      <c r="F468" s="9"/>
      <c r="G468" s="9"/>
      <c r="H468" s="9"/>
      <c r="I468" s="24"/>
      <c r="J468" s="9"/>
      <c r="K468" s="9"/>
      <c r="L468" s="20">
        <f>IF(AND(ISNUMBER($A468),$B468&lt;&gt;"",$D468&lt;&gt;"Examen partiel (ne relance pas)"),IF($A468&lt;=TODAY(),$A468,0),0)</f>
      </c>
      <c r="M468" s="20">
        <f>IF($L468=0,"",$B468&amp;"|"&amp;$L468)</f>
      </c>
    </row>
    <row r="469" spans="1:13" x14ac:dyDescent="0.25">
      <c r="A469" s="24"/>
      <c r="B469" s="9"/>
      <c r="C469" s="20">
        <f>IF($B469="","",IFERROR(INDEX(Parc!$B$2:$B$301,MATCH($B469,Parc!$A$2:$A$301,0)),"Réf. inconnue"))</f>
      </c>
      <c r="D469" s="9"/>
      <c r="E469" s="9"/>
      <c r="F469" s="9"/>
      <c r="G469" s="9"/>
      <c r="H469" s="9"/>
      <c r="I469" s="24"/>
      <c r="J469" s="9"/>
      <c r="K469" s="9"/>
      <c r="L469" s="20">
        <f>IF(AND(ISNUMBER($A469),$B469&lt;&gt;"",$D469&lt;&gt;"Examen partiel (ne relance pas)"),IF($A469&lt;=TODAY(),$A469,0),0)</f>
      </c>
      <c r="M469" s="20">
        <f>IF($L469=0,"",$B469&amp;"|"&amp;$L469)</f>
      </c>
    </row>
    <row r="470" spans="1:13" x14ac:dyDescent="0.25">
      <c r="A470" s="24"/>
      <c r="B470" s="9"/>
      <c r="C470" s="20">
        <f>IF($B470="","",IFERROR(INDEX(Parc!$B$2:$B$301,MATCH($B470,Parc!$A$2:$A$301,0)),"Réf. inconnue"))</f>
      </c>
      <c r="D470" s="9"/>
      <c r="E470" s="9"/>
      <c r="F470" s="9"/>
      <c r="G470" s="9"/>
      <c r="H470" s="9"/>
      <c r="I470" s="24"/>
      <c r="J470" s="9"/>
      <c r="K470" s="9"/>
      <c r="L470" s="20">
        <f>IF(AND(ISNUMBER($A470),$B470&lt;&gt;"",$D470&lt;&gt;"Examen partiel (ne relance pas)"),IF($A470&lt;=TODAY(),$A470,0),0)</f>
      </c>
      <c r="M470" s="20">
        <f>IF($L470=0,"",$B470&amp;"|"&amp;$L470)</f>
      </c>
    </row>
    <row r="471" spans="1:13" x14ac:dyDescent="0.25">
      <c r="A471" s="24"/>
      <c r="B471" s="9"/>
      <c r="C471" s="20">
        <f>IF($B471="","",IFERROR(INDEX(Parc!$B$2:$B$301,MATCH($B471,Parc!$A$2:$A$301,0)),"Réf. inconnue"))</f>
      </c>
      <c r="D471" s="9"/>
      <c r="E471" s="9"/>
      <c r="F471" s="9"/>
      <c r="G471" s="9"/>
      <c r="H471" s="9"/>
      <c r="I471" s="24"/>
      <c r="J471" s="9"/>
      <c r="K471" s="9"/>
      <c r="L471" s="20">
        <f>IF(AND(ISNUMBER($A471),$B471&lt;&gt;"",$D471&lt;&gt;"Examen partiel (ne relance pas)"),IF($A471&lt;=TODAY(),$A471,0),0)</f>
      </c>
      <c r="M471" s="20">
        <f>IF($L471=0,"",$B471&amp;"|"&amp;$L471)</f>
      </c>
    </row>
    <row r="472" spans="1:13" x14ac:dyDescent="0.25">
      <c r="A472" s="24"/>
      <c r="B472" s="9"/>
      <c r="C472" s="20">
        <f>IF($B472="","",IFERROR(INDEX(Parc!$B$2:$B$301,MATCH($B472,Parc!$A$2:$A$301,0)),"Réf. inconnue"))</f>
      </c>
      <c r="D472" s="9"/>
      <c r="E472" s="9"/>
      <c r="F472" s="9"/>
      <c r="G472" s="9"/>
      <c r="H472" s="9"/>
      <c r="I472" s="24"/>
      <c r="J472" s="9"/>
      <c r="K472" s="9"/>
      <c r="L472" s="20">
        <f>IF(AND(ISNUMBER($A472),$B472&lt;&gt;"",$D472&lt;&gt;"Examen partiel (ne relance pas)"),IF($A472&lt;=TODAY(),$A472,0),0)</f>
      </c>
      <c r="M472" s="20">
        <f>IF($L472=0,"",$B472&amp;"|"&amp;$L472)</f>
      </c>
    </row>
    <row r="473" spans="1:13" x14ac:dyDescent="0.25">
      <c r="A473" s="24"/>
      <c r="B473" s="9"/>
      <c r="C473" s="20">
        <f>IF($B473="","",IFERROR(INDEX(Parc!$B$2:$B$301,MATCH($B473,Parc!$A$2:$A$301,0)),"Réf. inconnue"))</f>
      </c>
      <c r="D473" s="9"/>
      <c r="E473" s="9"/>
      <c r="F473" s="9"/>
      <c r="G473" s="9"/>
      <c r="H473" s="9"/>
      <c r="I473" s="24"/>
      <c r="J473" s="9"/>
      <c r="K473" s="9"/>
      <c r="L473" s="20">
        <f>IF(AND(ISNUMBER($A473),$B473&lt;&gt;"",$D473&lt;&gt;"Examen partiel (ne relance pas)"),IF($A473&lt;=TODAY(),$A473,0),0)</f>
      </c>
      <c r="M473" s="20">
        <f>IF($L473=0,"",$B473&amp;"|"&amp;$L473)</f>
      </c>
    </row>
    <row r="474" spans="1:13" x14ac:dyDescent="0.25">
      <c r="A474" s="24"/>
      <c r="B474" s="9"/>
      <c r="C474" s="20">
        <f>IF($B474="","",IFERROR(INDEX(Parc!$B$2:$B$301,MATCH($B474,Parc!$A$2:$A$301,0)),"Réf. inconnue"))</f>
      </c>
      <c r="D474" s="9"/>
      <c r="E474" s="9"/>
      <c r="F474" s="9"/>
      <c r="G474" s="9"/>
      <c r="H474" s="9"/>
      <c r="I474" s="24"/>
      <c r="J474" s="9"/>
      <c r="K474" s="9"/>
      <c r="L474" s="20">
        <f>IF(AND(ISNUMBER($A474),$B474&lt;&gt;"",$D474&lt;&gt;"Examen partiel (ne relance pas)"),IF($A474&lt;=TODAY(),$A474,0),0)</f>
      </c>
      <c r="M474" s="20">
        <f>IF($L474=0,"",$B474&amp;"|"&amp;$L474)</f>
      </c>
    </row>
    <row r="475" spans="1:13" x14ac:dyDescent="0.25">
      <c r="A475" s="24"/>
      <c r="B475" s="9"/>
      <c r="C475" s="20">
        <f>IF($B475="","",IFERROR(INDEX(Parc!$B$2:$B$301,MATCH($B475,Parc!$A$2:$A$301,0)),"Réf. inconnue"))</f>
      </c>
      <c r="D475" s="9"/>
      <c r="E475" s="9"/>
      <c r="F475" s="9"/>
      <c r="G475" s="9"/>
      <c r="H475" s="9"/>
      <c r="I475" s="24"/>
      <c r="J475" s="9"/>
      <c r="K475" s="9"/>
      <c r="L475" s="20">
        <f>IF(AND(ISNUMBER($A475),$B475&lt;&gt;"",$D475&lt;&gt;"Examen partiel (ne relance pas)"),IF($A475&lt;=TODAY(),$A475,0),0)</f>
      </c>
      <c r="M475" s="20">
        <f>IF($L475=0,"",$B475&amp;"|"&amp;$L475)</f>
      </c>
    </row>
    <row r="476" spans="1:13" x14ac:dyDescent="0.25">
      <c r="A476" s="24"/>
      <c r="B476" s="9"/>
      <c r="C476" s="20">
        <f>IF($B476="","",IFERROR(INDEX(Parc!$B$2:$B$301,MATCH($B476,Parc!$A$2:$A$301,0)),"Réf. inconnue"))</f>
      </c>
      <c r="D476" s="9"/>
      <c r="E476" s="9"/>
      <c r="F476" s="9"/>
      <c r="G476" s="9"/>
      <c r="H476" s="9"/>
      <c r="I476" s="24"/>
      <c r="J476" s="9"/>
      <c r="K476" s="9"/>
      <c r="L476" s="20">
        <f>IF(AND(ISNUMBER($A476),$B476&lt;&gt;"",$D476&lt;&gt;"Examen partiel (ne relance pas)"),IF($A476&lt;=TODAY(),$A476,0),0)</f>
      </c>
      <c r="M476" s="20">
        <f>IF($L476=0,"",$B476&amp;"|"&amp;$L476)</f>
      </c>
    </row>
    <row r="477" spans="1:13" x14ac:dyDescent="0.25">
      <c r="A477" s="24"/>
      <c r="B477" s="9"/>
      <c r="C477" s="20">
        <f>IF($B477="","",IFERROR(INDEX(Parc!$B$2:$B$301,MATCH($B477,Parc!$A$2:$A$301,0)),"Réf. inconnue"))</f>
      </c>
      <c r="D477" s="9"/>
      <c r="E477" s="9"/>
      <c r="F477" s="9"/>
      <c r="G477" s="9"/>
      <c r="H477" s="9"/>
      <c r="I477" s="24"/>
      <c r="J477" s="9"/>
      <c r="K477" s="9"/>
      <c r="L477" s="20">
        <f>IF(AND(ISNUMBER($A477),$B477&lt;&gt;"",$D477&lt;&gt;"Examen partiel (ne relance pas)"),IF($A477&lt;=TODAY(),$A477,0),0)</f>
      </c>
      <c r="M477" s="20">
        <f>IF($L477=0,"",$B477&amp;"|"&amp;$L477)</f>
      </c>
    </row>
    <row r="478" spans="1:13" x14ac:dyDescent="0.25">
      <c r="A478" s="24"/>
      <c r="B478" s="9"/>
      <c r="C478" s="20">
        <f>IF($B478="","",IFERROR(INDEX(Parc!$B$2:$B$301,MATCH($B478,Parc!$A$2:$A$301,0)),"Réf. inconnue"))</f>
      </c>
      <c r="D478" s="9"/>
      <c r="E478" s="9"/>
      <c r="F478" s="9"/>
      <c r="G478" s="9"/>
      <c r="H478" s="9"/>
      <c r="I478" s="24"/>
      <c r="J478" s="9"/>
      <c r="K478" s="9"/>
      <c r="L478" s="20">
        <f>IF(AND(ISNUMBER($A478),$B478&lt;&gt;"",$D478&lt;&gt;"Examen partiel (ne relance pas)"),IF($A478&lt;=TODAY(),$A478,0),0)</f>
      </c>
      <c r="M478" s="20">
        <f>IF($L478=0,"",$B478&amp;"|"&amp;$L478)</f>
      </c>
    </row>
    <row r="479" spans="1:13" x14ac:dyDescent="0.25">
      <c r="A479" s="24"/>
      <c r="B479" s="9"/>
      <c r="C479" s="20">
        <f>IF($B479="","",IFERROR(INDEX(Parc!$B$2:$B$301,MATCH($B479,Parc!$A$2:$A$301,0)),"Réf. inconnue"))</f>
      </c>
      <c r="D479" s="9"/>
      <c r="E479" s="9"/>
      <c r="F479" s="9"/>
      <c r="G479" s="9"/>
      <c r="H479" s="9"/>
      <c r="I479" s="24"/>
      <c r="J479" s="9"/>
      <c r="K479" s="9"/>
      <c r="L479" s="20">
        <f>IF(AND(ISNUMBER($A479),$B479&lt;&gt;"",$D479&lt;&gt;"Examen partiel (ne relance pas)"),IF($A479&lt;=TODAY(),$A479,0),0)</f>
      </c>
      <c r="M479" s="20">
        <f>IF($L479=0,"",$B479&amp;"|"&amp;$L479)</f>
      </c>
    </row>
    <row r="480" spans="1:13" x14ac:dyDescent="0.25">
      <c r="A480" s="24"/>
      <c r="B480" s="9"/>
      <c r="C480" s="20">
        <f>IF($B480="","",IFERROR(INDEX(Parc!$B$2:$B$301,MATCH($B480,Parc!$A$2:$A$301,0)),"Réf. inconnue"))</f>
      </c>
      <c r="D480" s="9"/>
      <c r="E480" s="9"/>
      <c r="F480" s="9"/>
      <c r="G480" s="9"/>
      <c r="H480" s="9"/>
      <c r="I480" s="24"/>
      <c r="J480" s="9"/>
      <c r="K480" s="9"/>
      <c r="L480" s="20">
        <f>IF(AND(ISNUMBER($A480),$B480&lt;&gt;"",$D480&lt;&gt;"Examen partiel (ne relance pas)"),IF($A480&lt;=TODAY(),$A480,0),0)</f>
      </c>
      <c r="M480" s="20">
        <f>IF($L480=0,"",$B480&amp;"|"&amp;$L480)</f>
      </c>
    </row>
    <row r="481" spans="1:13" x14ac:dyDescent="0.25">
      <c r="A481" s="24"/>
      <c r="B481" s="9"/>
      <c r="C481" s="20">
        <f>IF($B481="","",IFERROR(INDEX(Parc!$B$2:$B$301,MATCH($B481,Parc!$A$2:$A$301,0)),"Réf. inconnue"))</f>
      </c>
      <c r="D481" s="9"/>
      <c r="E481" s="9"/>
      <c r="F481" s="9"/>
      <c r="G481" s="9"/>
      <c r="H481" s="9"/>
      <c r="I481" s="24"/>
      <c r="J481" s="9"/>
      <c r="K481" s="9"/>
      <c r="L481" s="20">
        <f>IF(AND(ISNUMBER($A481),$B481&lt;&gt;"",$D481&lt;&gt;"Examen partiel (ne relance pas)"),IF($A481&lt;=TODAY(),$A481,0),0)</f>
      </c>
      <c r="M481" s="20">
        <f>IF($L481=0,"",$B481&amp;"|"&amp;$L481)</f>
      </c>
    </row>
    <row r="482" spans="1:13" x14ac:dyDescent="0.25">
      <c r="A482" s="24"/>
      <c r="B482" s="9"/>
      <c r="C482" s="20">
        <f>IF($B482="","",IFERROR(INDEX(Parc!$B$2:$B$301,MATCH($B482,Parc!$A$2:$A$301,0)),"Réf. inconnue"))</f>
      </c>
      <c r="D482" s="9"/>
      <c r="E482" s="9"/>
      <c r="F482" s="9"/>
      <c r="G482" s="9"/>
      <c r="H482" s="9"/>
      <c r="I482" s="24"/>
      <c r="J482" s="9"/>
      <c r="K482" s="9"/>
      <c r="L482" s="20">
        <f>IF(AND(ISNUMBER($A482),$B482&lt;&gt;"",$D482&lt;&gt;"Examen partiel (ne relance pas)"),IF($A482&lt;=TODAY(),$A482,0),0)</f>
      </c>
      <c r="M482" s="20">
        <f>IF($L482=0,"",$B482&amp;"|"&amp;$L482)</f>
      </c>
    </row>
    <row r="483" spans="1:13" x14ac:dyDescent="0.25">
      <c r="A483" s="24"/>
      <c r="B483" s="9"/>
      <c r="C483" s="20">
        <f>IF($B483="","",IFERROR(INDEX(Parc!$B$2:$B$301,MATCH($B483,Parc!$A$2:$A$301,0)),"Réf. inconnue"))</f>
      </c>
      <c r="D483" s="9"/>
      <c r="E483" s="9"/>
      <c r="F483" s="9"/>
      <c r="G483" s="9"/>
      <c r="H483" s="9"/>
      <c r="I483" s="24"/>
      <c r="J483" s="9"/>
      <c r="K483" s="9"/>
      <c r="L483" s="20">
        <f>IF(AND(ISNUMBER($A483),$B483&lt;&gt;"",$D483&lt;&gt;"Examen partiel (ne relance pas)"),IF($A483&lt;=TODAY(),$A483,0),0)</f>
      </c>
      <c r="M483" s="20">
        <f>IF($L483=0,"",$B483&amp;"|"&amp;$L483)</f>
      </c>
    </row>
    <row r="484" spans="1:13" x14ac:dyDescent="0.25">
      <c r="A484" s="24"/>
      <c r="B484" s="9"/>
      <c r="C484" s="20">
        <f>IF($B484="","",IFERROR(INDEX(Parc!$B$2:$B$301,MATCH($B484,Parc!$A$2:$A$301,0)),"Réf. inconnue"))</f>
      </c>
      <c r="D484" s="9"/>
      <c r="E484" s="9"/>
      <c r="F484" s="9"/>
      <c r="G484" s="9"/>
      <c r="H484" s="9"/>
      <c r="I484" s="24"/>
      <c r="J484" s="9"/>
      <c r="K484" s="9"/>
      <c r="L484" s="20">
        <f>IF(AND(ISNUMBER($A484),$B484&lt;&gt;"",$D484&lt;&gt;"Examen partiel (ne relance pas)"),IF($A484&lt;=TODAY(),$A484,0),0)</f>
      </c>
      <c r="M484" s="20">
        <f>IF($L484=0,"",$B484&amp;"|"&amp;$L484)</f>
      </c>
    </row>
    <row r="485" spans="1:13" x14ac:dyDescent="0.25">
      <c r="A485" s="24"/>
      <c r="B485" s="9"/>
      <c r="C485" s="20">
        <f>IF($B485="","",IFERROR(INDEX(Parc!$B$2:$B$301,MATCH($B485,Parc!$A$2:$A$301,0)),"Réf. inconnue"))</f>
      </c>
      <c r="D485" s="9"/>
      <c r="E485" s="9"/>
      <c r="F485" s="9"/>
      <c r="G485" s="9"/>
      <c r="H485" s="9"/>
      <c r="I485" s="24"/>
      <c r="J485" s="9"/>
      <c r="K485" s="9"/>
      <c r="L485" s="20">
        <f>IF(AND(ISNUMBER($A485),$B485&lt;&gt;"",$D485&lt;&gt;"Examen partiel (ne relance pas)"),IF($A485&lt;=TODAY(),$A485,0),0)</f>
      </c>
      <c r="M485" s="20">
        <f>IF($L485=0,"",$B485&amp;"|"&amp;$L485)</f>
      </c>
    </row>
    <row r="486" spans="1:13" x14ac:dyDescent="0.25">
      <c r="A486" s="24"/>
      <c r="B486" s="9"/>
      <c r="C486" s="20">
        <f>IF($B486="","",IFERROR(INDEX(Parc!$B$2:$B$301,MATCH($B486,Parc!$A$2:$A$301,0)),"Réf. inconnue"))</f>
      </c>
      <c r="D486" s="9"/>
      <c r="E486" s="9"/>
      <c r="F486" s="9"/>
      <c r="G486" s="9"/>
      <c r="H486" s="9"/>
      <c r="I486" s="24"/>
      <c r="J486" s="9"/>
      <c r="K486" s="9"/>
      <c r="L486" s="20">
        <f>IF(AND(ISNUMBER($A486),$B486&lt;&gt;"",$D486&lt;&gt;"Examen partiel (ne relance pas)"),IF($A486&lt;=TODAY(),$A486,0),0)</f>
      </c>
      <c r="M486" s="20">
        <f>IF($L486=0,"",$B486&amp;"|"&amp;$L486)</f>
      </c>
    </row>
    <row r="487" spans="1:13" x14ac:dyDescent="0.25">
      <c r="A487" s="24"/>
      <c r="B487" s="9"/>
      <c r="C487" s="20">
        <f>IF($B487="","",IFERROR(INDEX(Parc!$B$2:$B$301,MATCH($B487,Parc!$A$2:$A$301,0)),"Réf. inconnue"))</f>
      </c>
      <c r="D487" s="9"/>
      <c r="E487" s="9"/>
      <c r="F487" s="9"/>
      <c r="G487" s="9"/>
      <c r="H487" s="9"/>
      <c r="I487" s="24"/>
      <c r="J487" s="9"/>
      <c r="K487" s="9"/>
      <c r="L487" s="20">
        <f>IF(AND(ISNUMBER($A487),$B487&lt;&gt;"",$D487&lt;&gt;"Examen partiel (ne relance pas)"),IF($A487&lt;=TODAY(),$A487,0),0)</f>
      </c>
      <c r="M487" s="20">
        <f>IF($L487=0,"",$B487&amp;"|"&amp;$L487)</f>
      </c>
    </row>
    <row r="488" spans="1:13" x14ac:dyDescent="0.25">
      <c r="A488" s="24"/>
      <c r="B488" s="9"/>
      <c r="C488" s="20">
        <f>IF($B488="","",IFERROR(INDEX(Parc!$B$2:$B$301,MATCH($B488,Parc!$A$2:$A$301,0)),"Réf. inconnue"))</f>
      </c>
      <c r="D488" s="9"/>
      <c r="E488" s="9"/>
      <c r="F488" s="9"/>
      <c r="G488" s="9"/>
      <c r="H488" s="9"/>
      <c r="I488" s="24"/>
      <c r="J488" s="9"/>
      <c r="K488" s="9"/>
      <c r="L488" s="20">
        <f>IF(AND(ISNUMBER($A488),$B488&lt;&gt;"",$D488&lt;&gt;"Examen partiel (ne relance pas)"),IF($A488&lt;=TODAY(),$A488,0),0)</f>
      </c>
      <c r="M488" s="20">
        <f>IF($L488=0,"",$B488&amp;"|"&amp;$L488)</f>
      </c>
    </row>
    <row r="489" spans="1:13" x14ac:dyDescent="0.25">
      <c r="A489" s="24"/>
      <c r="B489" s="9"/>
      <c r="C489" s="20">
        <f>IF($B489="","",IFERROR(INDEX(Parc!$B$2:$B$301,MATCH($B489,Parc!$A$2:$A$301,0)),"Réf. inconnue"))</f>
      </c>
      <c r="D489" s="9"/>
      <c r="E489" s="9"/>
      <c r="F489" s="9"/>
      <c r="G489" s="9"/>
      <c r="H489" s="9"/>
      <c r="I489" s="24"/>
      <c r="J489" s="9"/>
      <c r="K489" s="9"/>
      <c r="L489" s="20">
        <f>IF(AND(ISNUMBER($A489),$B489&lt;&gt;"",$D489&lt;&gt;"Examen partiel (ne relance pas)"),IF($A489&lt;=TODAY(),$A489,0),0)</f>
      </c>
      <c r="M489" s="20">
        <f>IF($L489=0,"",$B489&amp;"|"&amp;$L489)</f>
      </c>
    </row>
    <row r="490" spans="1:13" x14ac:dyDescent="0.25">
      <c r="A490" s="24"/>
      <c r="B490" s="9"/>
      <c r="C490" s="20">
        <f>IF($B490="","",IFERROR(INDEX(Parc!$B$2:$B$301,MATCH($B490,Parc!$A$2:$A$301,0)),"Réf. inconnue"))</f>
      </c>
      <c r="D490" s="9"/>
      <c r="E490" s="9"/>
      <c r="F490" s="9"/>
      <c r="G490" s="9"/>
      <c r="H490" s="9"/>
      <c r="I490" s="24"/>
      <c r="J490" s="9"/>
      <c r="K490" s="9"/>
      <c r="L490" s="20">
        <f>IF(AND(ISNUMBER($A490),$B490&lt;&gt;"",$D490&lt;&gt;"Examen partiel (ne relance pas)"),IF($A490&lt;=TODAY(),$A490,0),0)</f>
      </c>
      <c r="M490" s="20">
        <f>IF($L490=0,"",$B490&amp;"|"&amp;$L490)</f>
      </c>
    </row>
    <row r="491" spans="1:13" x14ac:dyDescent="0.25">
      <c r="A491" s="24"/>
      <c r="B491" s="9"/>
      <c r="C491" s="20">
        <f>IF($B491="","",IFERROR(INDEX(Parc!$B$2:$B$301,MATCH($B491,Parc!$A$2:$A$301,0)),"Réf. inconnue"))</f>
      </c>
      <c r="D491" s="9"/>
      <c r="E491" s="9"/>
      <c r="F491" s="9"/>
      <c r="G491" s="9"/>
      <c r="H491" s="9"/>
      <c r="I491" s="24"/>
      <c r="J491" s="9"/>
      <c r="K491" s="9"/>
      <c r="L491" s="20">
        <f>IF(AND(ISNUMBER($A491),$B491&lt;&gt;"",$D491&lt;&gt;"Examen partiel (ne relance pas)"),IF($A491&lt;=TODAY(),$A491,0),0)</f>
      </c>
      <c r="M491" s="20">
        <f>IF($L491=0,"",$B491&amp;"|"&amp;$L491)</f>
      </c>
    </row>
    <row r="492" spans="1:13" x14ac:dyDescent="0.25">
      <c r="A492" s="24"/>
      <c r="B492" s="9"/>
      <c r="C492" s="20">
        <f>IF($B492="","",IFERROR(INDEX(Parc!$B$2:$B$301,MATCH($B492,Parc!$A$2:$A$301,0)),"Réf. inconnue"))</f>
      </c>
      <c r="D492" s="9"/>
      <c r="E492" s="9"/>
      <c r="F492" s="9"/>
      <c r="G492" s="9"/>
      <c r="H492" s="9"/>
      <c r="I492" s="24"/>
      <c r="J492" s="9"/>
      <c r="K492" s="9"/>
      <c r="L492" s="20">
        <f>IF(AND(ISNUMBER($A492),$B492&lt;&gt;"",$D492&lt;&gt;"Examen partiel (ne relance pas)"),IF($A492&lt;=TODAY(),$A492,0),0)</f>
      </c>
      <c r="M492" s="20">
        <f>IF($L492=0,"",$B492&amp;"|"&amp;$L492)</f>
      </c>
    </row>
    <row r="493" spans="1:13" x14ac:dyDescent="0.25">
      <c r="A493" s="24"/>
      <c r="B493" s="9"/>
      <c r="C493" s="20">
        <f>IF($B493="","",IFERROR(INDEX(Parc!$B$2:$B$301,MATCH($B493,Parc!$A$2:$A$301,0)),"Réf. inconnue"))</f>
      </c>
      <c r="D493" s="9"/>
      <c r="E493" s="9"/>
      <c r="F493" s="9"/>
      <c r="G493" s="9"/>
      <c r="H493" s="9"/>
      <c r="I493" s="24"/>
      <c r="J493" s="9"/>
      <c r="K493" s="9"/>
      <c r="L493" s="20">
        <f>IF(AND(ISNUMBER($A493),$B493&lt;&gt;"",$D493&lt;&gt;"Examen partiel (ne relance pas)"),IF($A493&lt;=TODAY(),$A493,0),0)</f>
      </c>
      <c r="M493" s="20">
        <f>IF($L493=0,"",$B493&amp;"|"&amp;$L493)</f>
      </c>
    </row>
    <row r="494" spans="1:13" x14ac:dyDescent="0.25">
      <c r="A494" s="24"/>
      <c r="B494" s="9"/>
      <c r="C494" s="20">
        <f>IF($B494="","",IFERROR(INDEX(Parc!$B$2:$B$301,MATCH($B494,Parc!$A$2:$A$301,0)),"Réf. inconnue"))</f>
      </c>
      <c r="D494" s="9"/>
      <c r="E494" s="9"/>
      <c r="F494" s="9"/>
      <c r="G494" s="9"/>
      <c r="H494" s="9"/>
      <c r="I494" s="24"/>
      <c r="J494" s="9"/>
      <c r="K494" s="9"/>
      <c r="L494" s="20">
        <f>IF(AND(ISNUMBER($A494),$B494&lt;&gt;"",$D494&lt;&gt;"Examen partiel (ne relance pas)"),IF($A494&lt;=TODAY(),$A494,0),0)</f>
      </c>
      <c r="M494" s="20">
        <f>IF($L494=0,"",$B494&amp;"|"&amp;$L494)</f>
      </c>
    </row>
    <row r="495" spans="1:13" x14ac:dyDescent="0.25">
      <c r="A495" s="24"/>
      <c r="B495" s="9"/>
      <c r="C495" s="20">
        <f>IF($B495="","",IFERROR(INDEX(Parc!$B$2:$B$301,MATCH($B495,Parc!$A$2:$A$301,0)),"Réf. inconnue"))</f>
      </c>
      <c r="D495" s="9"/>
      <c r="E495" s="9"/>
      <c r="F495" s="9"/>
      <c r="G495" s="9"/>
      <c r="H495" s="9"/>
      <c r="I495" s="24"/>
      <c r="J495" s="9"/>
      <c r="K495" s="9"/>
      <c r="L495" s="20">
        <f>IF(AND(ISNUMBER($A495),$B495&lt;&gt;"",$D495&lt;&gt;"Examen partiel (ne relance pas)"),IF($A495&lt;=TODAY(),$A495,0),0)</f>
      </c>
      <c r="M495" s="20">
        <f>IF($L495=0,"",$B495&amp;"|"&amp;$L495)</f>
      </c>
    </row>
    <row r="496" spans="1:13" x14ac:dyDescent="0.25">
      <c r="A496" s="24"/>
      <c r="B496" s="9"/>
      <c r="C496" s="20">
        <f>IF($B496="","",IFERROR(INDEX(Parc!$B$2:$B$301,MATCH($B496,Parc!$A$2:$A$301,0)),"Réf. inconnue"))</f>
      </c>
      <c r="D496" s="9"/>
      <c r="E496" s="9"/>
      <c r="F496" s="9"/>
      <c r="G496" s="9"/>
      <c r="H496" s="9"/>
      <c r="I496" s="24"/>
      <c r="J496" s="9"/>
      <c r="K496" s="9"/>
      <c r="L496" s="20">
        <f>IF(AND(ISNUMBER($A496),$B496&lt;&gt;"",$D496&lt;&gt;"Examen partiel (ne relance pas)"),IF($A496&lt;=TODAY(),$A496,0),0)</f>
      </c>
      <c r="M496" s="20">
        <f>IF($L496=0,"",$B496&amp;"|"&amp;$L496)</f>
      </c>
    </row>
    <row r="497" spans="1:13" x14ac:dyDescent="0.25">
      <c r="A497" s="24"/>
      <c r="B497" s="9"/>
      <c r="C497" s="20">
        <f>IF($B497="","",IFERROR(INDEX(Parc!$B$2:$B$301,MATCH($B497,Parc!$A$2:$A$301,0)),"Réf. inconnue"))</f>
      </c>
      <c r="D497" s="9"/>
      <c r="E497" s="9"/>
      <c r="F497" s="9"/>
      <c r="G497" s="9"/>
      <c r="H497" s="9"/>
      <c r="I497" s="24"/>
      <c r="J497" s="9"/>
      <c r="K497" s="9"/>
      <c r="L497" s="20">
        <f>IF(AND(ISNUMBER($A497),$B497&lt;&gt;"",$D497&lt;&gt;"Examen partiel (ne relance pas)"),IF($A497&lt;=TODAY(),$A497,0),0)</f>
      </c>
      <c r="M497" s="20">
        <f>IF($L497=0,"",$B497&amp;"|"&amp;$L497)</f>
      </c>
    </row>
    <row r="498" spans="1:13" x14ac:dyDescent="0.25">
      <c r="A498" s="24"/>
      <c r="B498" s="9"/>
      <c r="C498" s="20">
        <f>IF($B498="","",IFERROR(INDEX(Parc!$B$2:$B$301,MATCH($B498,Parc!$A$2:$A$301,0)),"Réf. inconnue"))</f>
      </c>
      <c r="D498" s="9"/>
      <c r="E498" s="9"/>
      <c r="F498" s="9"/>
      <c r="G498" s="9"/>
      <c r="H498" s="9"/>
      <c r="I498" s="24"/>
      <c r="J498" s="9"/>
      <c r="K498" s="9"/>
      <c r="L498" s="20">
        <f>IF(AND(ISNUMBER($A498),$B498&lt;&gt;"",$D498&lt;&gt;"Examen partiel (ne relance pas)"),IF($A498&lt;=TODAY(),$A498,0),0)</f>
      </c>
      <c r="M498" s="20">
        <f>IF($L498=0,"",$B498&amp;"|"&amp;$L498)</f>
      </c>
    </row>
    <row r="499" spans="1:13" x14ac:dyDescent="0.25">
      <c r="A499" s="24"/>
      <c r="B499" s="9"/>
      <c r="C499" s="20">
        <f>IF($B499="","",IFERROR(INDEX(Parc!$B$2:$B$301,MATCH($B499,Parc!$A$2:$A$301,0)),"Réf. inconnue"))</f>
      </c>
      <c r="D499" s="9"/>
      <c r="E499" s="9"/>
      <c r="F499" s="9"/>
      <c r="G499" s="9"/>
      <c r="H499" s="9"/>
      <c r="I499" s="24"/>
      <c r="J499" s="9"/>
      <c r="K499" s="9"/>
      <c r="L499" s="20">
        <f>IF(AND(ISNUMBER($A499),$B499&lt;&gt;"",$D499&lt;&gt;"Examen partiel (ne relance pas)"),IF($A499&lt;=TODAY(),$A499,0),0)</f>
      </c>
      <c r="M499" s="20">
        <f>IF($L499=0,"",$B499&amp;"|"&amp;$L499)</f>
      </c>
    </row>
    <row r="500" spans="1:13" x14ac:dyDescent="0.25">
      <c r="A500" s="24"/>
      <c r="B500" s="9"/>
      <c r="C500" s="20">
        <f>IF($B500="","",IFERROR(INDEX(Parc!$B$2:$B$301,MATCH($B500,Parc!$A$2:$A$301,0)),"Réf. inconnue"))</f>
      </c>
      <c r="D500" s="9"/>
      <c r="E500" s="9"/>
      <c r="F500" s="9"/>
      <c r="G500" s="9"/>
      <c r="H500" s="9"/>
      <c r="I500" s="24"/>
      <c r="J500" s="9"/>
      <c r="K500" s="9"/>
      <c r="L500" s="20">
        <f>IF(AND(ISNUMBER($A500),$B500&lt;&gt;"",$D500&lt;&gt;"Examen partiel (ne relance pas)"),IF($A500&lt;=TODAY(),$A500,0),0)</f>
      </c>
      <c r="M500" s="20">
        <f>IF($L500=0,"",$B500&amp;"|"&amp;$L500)</f>
      </c>
    </row>
    <row r="501" spans="1:13" x14ac:dyDescent="0.25">
      <c r="A501" s="24"/>
      <c r="B501" s="9"/>
      <c r="C501" s="20">
        <f>IF($B501="","",IFERROR(INDEX(Parc!$B$2:$B$301,MATCH($B501,Parc!$A$2:$A$301,0)),"Réf. inconnue"))</f>
      </c>
      <c r="D501" s="9"/>
      <c r="E501" s="9"/>
      <c r="F501" s="9"/>
      <c r="G501" s="9"/>
      <c r="H501" s="9"/>
      <c r="I501" s="24"/>
      <c r="J501" s="9"/>
      <c r="K501" s="9"/>
      <c r="L501" s="20">
        <f>IF(AND(ISNUMBER($A501),$B501&lt;&gt;"",$D501&lt;&gt;"Examen partiel (ne relance pas)"),IF($A501&lt;=TODAY(),$A501,0),0)</f>
      </c>
      <c r="M501" s="20">
        <f>IF($L501=0,"",$B501&amp;"|"&amp;$L501)</f>
      </c>
    </row>
    <row r="502" spans="1:13" x14ac:dyDescent="0.25">
      <c r="A502" s="24"/>
      <c r="B502" s="9"/>
      <c r="C502" s="20">
        <f>IF($B502="","",IFERROR(INDEX(Parc!$B$2:$B$301,MATCH($B502,Parc!$A$2:$A$301,0)),"Réf. inconnue"))</f>
      </c>
      <c r="D502" s="9"/>
      <c r="E502" s="9"/>
      <c r="F502" s="9"/>
      <c r="G502" s="9"/>
      <c r="H502" s="9"/>
      <c r="I502" s="24"/>
      <c r="J502" s="9"/>
      <c r="K502" s="9"/>
      <c r="L502" s="20">
        <f>IF(AND(ISNUMBER($A502),$B502&lt;&gt;"",$D502&lt;&gt;"Examen partiel (ne relance pas)"),IF($A502&lt;=TODAY(),$A502,0),0)</f>
      </c>
      <c r="M502" s="20">
        <f>IF($L502=0,"",$B502&amp;"|"&amp;$L502)</f>
      </c>
    </row>
    <row r="503" spans="1:13" x14ac:dyDescent="0.25">
      <c r="A503" s="24"/>
      <c r="B503" s="9"/>
      <c r="C503" s="20">
        <f>IF($B503="","",IFERROR(INDEX(Parc!$B$2:$B$301,MATCH($B503,Parc!$A$2:$A$301,0)),"Réf. inconnue"))</f>
      </c>
      <c r="D503" s="9"/>
      <c r="E503" s="9"/>
      <c r="F503" s="9"/>
      <c r="G503" s="9"/>
      <c r="H503" s="9"/>
      <c r="I503" s="24"/>
      <c r="J503" s="9"/>
      <c r="K503" s="9"/>
      <c r="L503" s="20">
        <f>IF(AND(ISNUMBER($A503),$B503&lt;&gt;"",$D503&lt;&gt;"Examen partiel (ne relance pas)"),IF($A503&lt;=TODAY(),$A503,0),0)</f>
      </c>
      <c r="M503" s="20">
        <f>IF($L503=0,"",$B503&amp;"|"&amp;$L503)</f>
      </c>
    </row>
    <row r="504" spans="1:13" x14ac:dyDescent="0.25">
      <c r="A504" s="24"/>
      <c r="B504" s="9"/>
      <c r="C504" s="20">
        <f>IF($B504="","",IFERROR(INDEX(Parc!$B$2:$B$301,MATCH($B504,Parc!$A$2:$A$301,0)),"Réf. inconnue"))</f>
      </c>
      <c r="D504" s="9"/>
      <c r="E504" s="9"/>
      <c r="F504" s="9"/>
      <c r="G504" s="9"/>
      <c r="H504" s="9"/>
      <c r="I504" s="24"/>
      <c r="J504" s="9"/>
      <c r="K504" s="9"/>
      <c r="L504" s="20">
        <f>IF(AND(ISNUMBER($A504),$B504&lt;&gt;"",$D504&lt;&gt;"Examen partiel (ne relance pas)"),IF($A504&lt;=TODAY(),$A504,0),0)</f>
      </c>
      <c r="M504" s="20">
        <f>IF($L504=0,"",$B504&amp;"|"&amp;$L504)</f>
      </c>
    </row>
    <row r="505" spans="1:13" x14ac:dyDescent="0.25">
      <c r="A505" s="24"/>
      <c r="B505" s="9"/>
      <c r="C505" s="20">
        <f>IF($B505="","",IFERROR(INDEX(Parc!$B$2:$B$301,MATCH($B505,Parc!$A$2:$A$301,0)),"Réf. inconnue"))</f>
      </c>
      <c r="D505" s="9"/>
      <c r="E505" s="9"/>
      <c r="F505" s="9"/>
      <c r="G505" s="9"/>
      <c r="H505" s="9"/>
      <c r="I505" s="24"/>
      <c r="J505" s="9"/>
      <c r="K505" s="9"/>
      <c r="L505" s="20">
        <f>IF(AND(ISNUMBER($A505),$B505&lt;&gt;"",$D505&lt;&gt;"Examen partiel (ne relance pas)"),IF($A505&lt;=TODAY(),$A505,0),0)</f>
      </c>
      <c r="M505" s="20">
        <f>IF($L505=0,"",$B505&amp;"|"&amp;$L505)</f>
      </c>
    </row>
    <row r="506" spans="1:13" x14ac:dyDescent="0.25">
      <c r="A506" s="24"/>
      <c r="B506" s="9"/>
      <c r="C506" s="20">
        <f>IF($B506="","",IFERROR(INDEX(Parc!$B$2:$B$301,MATCH($B506,Parc!$A$2:$A$301,0)),"Réf. inconnue"))</f>
      </c>
      <c r="D506" s="9"/>
      <c r="E506" s="9"/>
      <c r="F506" s="9"/>
      <c r="G506" s="9"/>
      <c r="H506" s="9"/>
      <c r="I506" s="24"/>
      <c r="J506" s="9"/>
      <c r="K506" s="9"/>
      <c r="L506" s="20">
        <f>IF(AND(ISNUMBER($A506),$B506&lt;&gt;"",$D506&lt;&gt;"Examen partiel (ne relance pas)"),IF($A506&lt;=TODAY(),$A506,0),0)</f>
      </c>
      <c r="M506" s="20">
        <f>IF($L506=0,"",$B506&amp;"|"&amp;$L506)</f>
      </c>
    </row>
    <row r="507" spans="1:13" x14ac:dyDescent="0.25">
      <c r="A507" s="24"/>
      <c r="B507" s="9"/>
      <c r="C507" s="20">
        <f>IF($B507="","",IFERROR(INDEX(Parc!$B$2:$B$301,MATCH($B507,Parc!$A$2:$A$301,0)),"Réf. inconnue"))</f>
      </c>
      <c r="D507" s="9"/>
      <c r="E507" s="9"/>
      <c r="F507" s="9"/>
      <c r="G507" s="9"/>
      <c r="H507" s="9"/>
      <c r="I507" s="24"/>
      <c r="J507" s="9"/>
      <c r="K507" s="9"/>
      <c r="L507" s="20">
        <f>IF(AND(ISNUMBER($A507),$B507&lt;&gt;"",$D507&lt;&gt;"Examen partiel (ne relance pas)"),IF($A507&lt;=TODAY(),$A507,0),0)</f>
      </c>
      <c r="M507" s="20">
        <f>IF($L507=0,"",$B507&amp;"|"&amp;$L507)</f>
      </c>
    </row>
    <row r="508" spans="1:13" x14ac:dyDescent="0.25">
      <c r="A508" s="24"/>
      <c r="B508" s="9"/>
      <c r="C508" s="20">
        <f>IF($B508="","",IFERROR(INDEX(Parc!$B$2:$B$301,MATCH($B508,Parc!$A$2:$A$301,0)),"Réf. inconnue"))</f>
      </c>
      <c r="D508" s="9"/>
      <c r="E508" s="9"/>
      <c r="F508" s="9"/>
      <c r="G508" s="9"/>
      <c r="H508" s="9"/>
      <c r="I508" s="24"/>
      <c r="J508" s="9"/>
      <c r="K508" s="9"/>
      <c r="L508" s="20">
        <f>IF(AND(ISNUMBER($A508),$B508&lt;&gt;"",$D508&lt;&gt;"Examen partiel (ne relance pas)"),IF($A508&lt;=TODAY(),$A508,0),0)</f>
      </c>
      <c r="M508" s="20">
        <f>IF($L508=0,"",$B508&amp;"|"&amp;$L508)</f>
      </c>
    </row>
    <row r="509" spans="1:13" x14ac:dyDescent="0.25">
      <c r="A509" s="24"/>
      <c r="B509" s="9"/>
      <c r="C509" s="20">
        <f>IF($B509="","",IFERROR(INDEX(Parc!$B$2:$B$301,MATCH($B509,Parc!$A$2:$A$301,0)),"Réf. inconnue"))</f>
      </c>
      <c r="D509" s="9"/>
      <c r="E509" s="9"/>
      <c r="F509" s="9"/>
      <c r="G509" s="9"/>
      <c r="H509" s="9"/>
      <c r="I509" s="24"/>
      <c r="J509" s="9"/>
      <c r="K509" s="9"/>
      <c r="L509" s="20">
        <f>IF(AND(ISNUMBER($A509),$B509&lt;&gt;"",$D509&lt;&gt;"Examen partiel (ne relance pas)"),IF($A509&lt;=TODAY(),$A509,0),0)</f>
      </c>
      <c r="M509" s="20">
        <f>IF($L509=0,"",$B509&amp;"|"&amp;$L509)</f>
      </c>
    </row>
    <row r="510" spans="1:13" x14ac:dyDescent="0.25">
      <c r="A510" s="24"/>
      <c r="B510" s="9"/>
      <c r="C510" s="20">
        <f>IF($B510="","",IFERROR(INDEX(Parc!$B$2:$B$301,MATCH($B510,Parc!$A$2:$A$301,0)),"Réf. inconnue"))</f>
      </c>
      <c r="D510" s="9"/>
      <c r="E510" s="9"/>
      <c r="F510" s="9"/>
      <c r="G510" s="9"/>
      <c r="H510" s="9"/>
      <c r="I510" s="24"/>
      <c r="J510" s="9"/>
      <c r="K510" s="9"/>
      <c r="L510" s="20">
        <f>IF(AND(ISNUMBER($A510),$B510&lt;&gt;"",$D510&lt;&gt;"Examen partiel (ne relance pas)"),IF($A510&lt;=TODAY(),$A510,0),0)</f>
      </c>
      <c r="M510" s="20">
        <f>IF($L510=0,"",$B510&amp;"|"&amp;$L510)</f>
      </c>
    </row>
    <row r="511" spans="1:13" x14ac:dyDescent="0.25">
      <c r="A511" s="24"/>
      <c r="B511" s="9"/>
      <c r="C511" s="20">
        <f>IF($B511="","",IFERROR(INDEX(Parc!$B$2:$B$301,MATCH($B511,Parc!$A$2:$A$301,0)),"Réf. inconnue"))</f>
      </c>
      <c r="D511" s="9"/>
      <c r="E511" s="9"/>
      <c r="F511" s="9"/>
      <c r="G511" s="9"/>
      <c r="H511" s="9"/>
      <c r="I511" s="24"/>
      <c r="J511" s="9"/>
      <c r="K511" s="9"/>
      <c r="L511" s="20">
        <f>IF(AND(ISNUMBER($A511),$B511&lt;&gt;"",$D511&lt;&gt;"Examen partiel (ne relance pas)"),IF($A511&lt;=TODAY(),$A511,0),0)</f>
      </c>
      <c r="M511" s="20">
        <f>IF($L511=0,"",$B511&amp;"|"&amp;$L511)</f>
      </c>
    </row>
    <row r="512" spans="1:13" x14ac:dyDescent="0.25">
      <c r="A512" s="24"/>
      <c r="B512" s="9"/>
      <c r="C512" s="20">
        <f>IF($B512="","",IFERROR(INDEX(Parc!$B$2:$B$301,MATCH($B512,Parc!$A$2:$A$301,0)),"Réf. inconnue"))</f>
      </c>
      <c r="D512" s="9"/>
      <c r="E512" s="9"/>
      <c r="F512" s="9"/>
      <c r="G512" s="9"/>
      <c r="H512" s="9"/>
      <c r="I512" s="24"/>
      <c r="J512" s="9"/>
      <c r="K512" s="9"/>
      <c r="L512" s="20">
        <f>IF(AND(ISNUMBER($A512),$B512&lt;&gt;"",$D512&lt;&gt;"Examen partiel (ne relance pas)"),IF($A512&lt;=TODAY(),$A512,0),0)</f>
      </c>
      <c r="M512" s="20">
        <f>IF($L512=0,"",$B512&amp;"|"&amp;$L512)</f>
      </c>
    </row>
    <row r="513" spans="1:13" x14ac:dyDescent="0.25">
      <c r="A513" s="24"/>
      <c r="B513" s="9"/>
      <c r="C513" s="20">
        <f>IF($B513="","",IFERROR(INDEX(Parc!$B$2:$B$301,MATCH($B513,Parc!$A$2:$A$301,0)),"Réf. inconnue"))</f>
      </c>
      <c r="D513" s="9"/>
      <c r="E513" s="9"/>
      <c r="F513" s="9"/>
      <c r="G513" s="9"/>
      <c r="H513" s="9"/>
      <c r="I513" s="24"/>
      <c r="J513" s="9"/>
      <c r="K513" s="9"/>
      <c r="L513" s="20">
        <f>IF(AND(ISNUMBER($A513),$B513&lt;&gt;"",$D513&lt;&gt;"Examen partiel (ne relance pas)"),IF($A513&lt;=TODAY(),$A513,0),0)</f>
      </c>
      <c r="M513" s="20">
        <f>IF($L513=0,"",$B513&amp;"|"&amp;$L513)</f>
      </c>
    </row>
    <row r="514" spans="1:13" x14ac:dyDescent="0.25">
      <c r="A514" s="24"/>
      <c r="B514" s="9"/>
      <c r="C514" s="20">
        <f>IF($B514="","",IFERROR(INDEX(Parc!$B$2:$B$301,MATCH($B514,Parc!$A$2:$A$301,0)),"Réf. inconnue"))</f>
      </c>
      <c r="D514" s="9"/>
      <c r="E514" s="9"/>
      <c r="F514" s="9"/>
      <c r="G514" s="9"/>
      <c r="H514" s="9"/>
      <c r="I514" s="24"/>
      <c r="J514" s="9"/>
      <c r="K514" s="9"/>
      <c r="L514" s="20">
        <f>IF(AND(ISNUMBER($A514),$B514&lt;&gt;"",$D514&lt;&gt;"Examen partiel (ne relance pas)"),IF($A514&lt;=TODAY(),$A514,0),0)</f>
      </c>
      <c r="M514" s="20">
        <f>IF($L514=0,"",$B514&amp;"|"&amp;$L514)</f>
      </c>
    </row>
    <row r="515" spans="1:13" x14ac:dyDescent="0.25">
      <c r="A515" s="24"/>
      <c r="B515" s="9"/>
      <c r="C515" s="20">
        <f>IF($B515="","",IFERROR(INDEX(Parc!$B$2:$B$301,MATCH($B515,Parc!$A$2:$A$301,0)),"Réf. inconnue"))</f>
      </c>
      <c r="D515" s="9"/>
      <c r="E515" s="9"/>
      <c r="F515" s="9"/>
      <c r="G515" s="9"/>
      <c r="H515" s="9"/>
      <c r="I515" s="24"/>
      <c r="J515" s="9"/>
      <c r="K515" s="9"/>
      <c r="L515" s="20">
        <f>IF(AND(ISNUMBER($A515),$B515&lt;&gt;"",$D515&lt;&gt;"Examen partiel (ne relance pas)"),IF($A515&lt;=TODAY(),$A515,0),0)</f>
      </c>
      <c r="M515" s="20">
        <f>IF($L515=0,"",$B515&amp;"|"&amp;$L515)</f>
      </c>
    </row>
    <row r="516" spans="1:13" x14ac:dyDescent="0.25">
      <c r="A516" s="24"/>
      <c r="B516" s="9"/>
      <c r="C516" s="20">
        <f>IF($B516="","",IFERROR(INDEX(Parc!$B$2:$B$301,MATCH($B516,Parc!$A$2:$A$301,0)),"Réf. inconnue"))</f>
      </c>
      <c r="D516" s="9"/>
      <c r="E516" s="9"/>
      <c r="F516" s="9"/>
      <c r="G516" s="9"/>
      <c r="H516" s="9"/>
      <c r="I516" s="24"/>
      <c r="J516" s="9"/>
      <c r="K516" s="9"/>
      <c r="L516" s="20">
        <f>IF(AND(ISNUMBER($A516),$B516&lt;&gt;"",$D516&lt;&gt;"Examen partiel (ne relance pas)"),IF($A516&lt;=TODAY(),$A516,0),0)</f>
      </c>
      <c r="M516" s="20">
        <f>IF($L516=0,"",$B516&amp;"|"&amp;$L516)</f>
      </c>
    </row>
    <row r="517" spans="1:13" x14ac:dyDescent="0.25">
      <c r="A517" s="24"/>
      <c r="B517" s="9"/>
      <c r="C517" s="20">
        <f>IF($B517="","",IFERROR(INDEX(Parc!$B$2:$B$301,MATCH($B517,Parc!$A$2:$A$301,0)),"Réf. inconnue"))</f>
      </c>
      <c r="D517" s="9"/>
      <c r="E517" s="9"/>
      <c r="F517" s="9"/>
      <c r="G517" s="9"/>
      <c r="H517" s="9"/>
      <c r="I517" s="24"/>
      <c r="J517" s="9"/>
      <c r="K517" s="9"/>
      <c r="L517" s="20">
        <f>IF(AND(ISNUMBER($A517),$B517&lt;&gt;"",$D517&lt;&gt;"Examen partiel (ne relance pas)"),IF($A517&lt;=TODAY(),$A517,0),0)</f>
      </c>
      <c r="M517" s="20">
        <f>IF($L517=0,"",$B517&amp;"|"&amp;$L517)</f>
      </c>
    </row>
    <row r="518" spans="1:13" x14ac:dyDescent="0.25">
      <c r="A518" s="24"/>
      <c r="B518" s="9"/>
      <c r="C518" s="20">
        <f>IF($B518="","",IFERROR(INDEX(Parc!$B$2:$B$301,MATCH($B518,Parc!$A$2:$A$301,0)),"Réf. inconnue"))</f>
      </c>
      <c r="D518" s="9"/>
      <c r="E518" s="9"/>
      <c r="F518" s="9"/>
      <c r="G518" s="9"/>
      <c r="H518" s="9"/>
      <c r="I518" s="24"/>
      <c r="J518" s="9"/>
      <c r="K518" s="9"/>
      <c r="L518" s="20">
        <f>IF(AND(ISNUMBER($A518),$B518&lt;&gt;"",$D518&lt;&gt;"Examen partiel (ne relance pas)"),IF($A518&lt;=TODAY(),$A518,0),0)</f>
      </c>
      <c r="M518" s="20">
        <f>IF($L518=0,"",$B518&amp;"|"&amp;$L518)</f>
      </c>
    </row>
    <row r="519" spans="1:13" x14ac:dyDescent="0.25">
      <c r="A519" s="24"/>
      <c r="B519" s="9"/>
      <c r="C519" s="20">
        <f>IF($B519="","",IFERROR(INDEX(Parc!$B$2:$B$301,MATCH($B519,Parc!$A$2:$A$301,0)),"Réf. inconnue"))</f>
      </c>
      <c r="D519" s="9"/>
      <c r="E519" s="9"/>
      <c r="F519" s="9"/>
      <c r="G519" s="9"/>
      <c r="H519" s="9"/>
      <c r="I519" s="24"/>
      <c r="J519" s="9"/>
      <c r="K519" s="9"/>
      <c r="L519" s="20">
        <f>IF(AND(ISNUMBER($A519),$B519&lt;&gt;"",$D519&lt;&gt;"Examen partiel (ne relance pas)"),IF($A519&lt;=TODAY(),$A519,0),0)</f>
      </c>
      <c r="M519" s="20">
        <f>IF($L519=0,"",$B519&amp;"|"&amp;$L519)</f>
      </c>
    </row>
    <row r="520" spans="1:13" x14ac:dyDescent="0.25">
      <c r="A520" s="24"/>
      <c r="B520" s="9"/>
      <c r="C520" s="20">
        <f>IF($B520="","",IFERROR(INDEX(Parc!$B$2:$B$301,MATCH($B520,Parc!$A$2:$A$301,0)),"Réf. inconnue"))</f>
      </c>
      <c r="D520" s="9"/>
      <c r="E520" s="9"/>
      <c r="F520" s="9"/>
      <c r="G520" s="9"/>
      <c r="H520" s="9"/>
      <c r="I520" s="24"/>
      <c r="J520" s="9"/>
      <c r="K520" s="9"/>
      <c r="L520" s="20">
        <f>IF(AND(ISNUMBER($A520),$B520&lt;&gt;"",$D520&lt;&gt;"Examen partiel (ne relance pas)"),IF($A520&lt;=TODAY(),$A520,0),0)</f>
      </c>
      <c r="M520" s="20">
        <f>IF($L520=0,"",$B520&amp;"|"&amp;$L520)</f>
      </c>
    </row>
    <row r="521" spans="1:13" x14ac:dyDescent="0.25">
      <c r="A521" s="24"/>
      <c r="B521" s="9"/>
      <c r="C521" s="20">
        <f>IF($B521="","",IFERROR(INDEX(Parc!$B$2:$B$301,MATCH($B521,Parc!$A$2:$A$301,0)),"Réf. inconnue"))</f>
      </c>
      <c r="D521" s="9"/>
      <c r="E521" s="9"/>
      <c r="F521" s="9"/>
      <c r="G521" s="9"/>
      <c r="H521" s="9"/>
      <c r="I521" s="24"/>
      <c r="J521" s="9"/>
      <c r="K521" s="9"/>
      <c r="L521" s="20">
        <f>IF(AND(ISNUMBER($A521),$B521&lt;&gt;"",$D521&lt;&gt;"Examen partiel (ne relance pas)"),IF($A521&lt;=TODAY(),$A521,0),0)</f>
      </c>
      <c r="M521" s="20">
        <f>IF($L521=0,"",$B521&amp;"|"&amp;$L521)</f>
      </c>
    </row>
    <row r="522" spans="1:13" x14ac:dyDescent="0.25">
      <c r="A522" s="24"/>
      <c r="B522" s="9"/>
      <c r="C522" s="20">
        <f>IF($B522="","",IFERROR(INDEX(Parc!$B$2:$B$301,MATCH($B522,Parc!$A$2:$A$301,0)),"Réf. inconnue"))</f>
      </c>
      <c r="D522" s="9"/>
      <c r="E522" s="9"/>
      <c r="F522" s="9"/>
      <c r="G522" s="9"/>
      <c r="H522" s="9"/>
      <c r="I522" s="24"/>
      <c r="J522" s="9"/>
      <c r="K522" s="9"/>
      <c r="L522" s="20">
        <f>IF(AND(ISNUMBER($A522),$B522&lt;&gt;"",$D522&lt;&gt;"Examen partiel (ne relance pas)"),IF($A522&lt;=TODAY(),$A522,0),0)</f>
      </c>
      <c r="M522" s="20">
        <f>IF($L522=0,"",$B522&amp;"|"&amp;$L522)</f>
      </c>
    </row>
    <row r="523" spans="1:13" x14ac:dyDescent="0.25">
      <c r="A523" s="24"/>
      <c r="B523" s="9"/>
      <c r="C523" s="20">
        <f>IF($B523="","",IFERROR(INDEX(Parc!$B$2:$B$301,MATCH($B523,Parc!$A$2:$A$301,0)),"Réf. inconnue"))</f>
      </c>
      <c r="D523" s="9"/>
      <c r="E523" s="9"/>
      <c r="F523" s="9"/>
      <c r="G523" s="9"/>
      <c r="H523" s="9"/>
      <c r="I523" s="24"/>
      <c r="J523" s="9"/>
      <c r="K523" s="9"/>
      <c r="L523" s="20">
        <f>IF(AND(ISNUMBER($A523),$B523&lt;&gt;"",$D523&lt;&gt;"Examen partiel (ne relance pas)"),IF($A523&lt;=TODAY(),$A523,0),0)</f>
      </c>
      <c r="M523" s="20">
        <f>IF($L523=0,"",$B523&amp;"|"&amp;$L523)</f>
      </c>
    </row>
    <row r="524" spans="1:13" x14ac:dyDescent="0.25">
      <c r="A524" s="24"/>
      <c r="B524" s="9"/>
      <c r="C524" s="20">
        <f>IF($B524="","",IFERROR(INDEX(Parc!$B$2:$B$301,MATCH($B524,Parc!$A$2:$A$301,0)),"Réf. inconnue"))</f>
      </c>
      <c r="D524" s="9"/>
      <c r="E524" s="9"/>
      <c r="F524" s="9"/>
      <c r="G524" s="9"/>
      <c r="H524" s="9"/>
      <c r="I524" s="24"/>
      <c r="J524" s="9"/>
      <c r="K524" s="9"/>
      <c r="L524" s="20">
        <f>IF(AND(ISNUMBER($A524),$B524&lt;&gt;"",$D524&lt;&gt;"Examen partiel (ne relance pas)"),IF($A524&lt;=TODAY(),$A524,0),0)</f>
      </c>
      <c r="M524" s="20">
        <f>IF($L524=0,"",$B524&amp;"|"&amp;$L524)</f>
      </c>
    </row>
    <row r="525" spans="1:13" x14ac:dyDescent="0.25">
      <c r="A525" s="24"/>
      <c r="B525" s="9"/>
      <c r="C525" s="20">
        <f>IF($B525="","",IFERROR(INDEX(Parc!$B$2:$B$301,MATCH($B525,Parc!$A$2:$A$301,0)),"Réf. inconnue"))</f>
      </c>
      <c r="D525" s="9"/>
      <c r="E525" s="9"/>
      <c r="F525" s="9"/>
      <c r="G525" s="9"/>
      <c r="H525" s="9"/>
      <c r="I525" s="24"/>
      <c r="J525" s="9"/>
      <c r="K525" s="9"/>
      <c r="L525" s="20">
        <f>IF(AND(ISNUMBER($A525),$B525&lt;&gt;"",$D525&lt;&gt;"Examen partiel (ne relance pas)"),IF($A525&lt;=TODAY(),$A525,0),0)</f>
      </c>
      <c r="M525" s="20">
        <f>IF($L525=0,"",$B525&amp;"|"&amp;$L525)</f>
      </c>
    </row>
    <row r="526" spans="1:13" x14ac:dyDescent="0.25">
      <c r="A526" s="24"/>
      <c r="B526" s="9"/>
      <c r="C526" s="20">
        <f>IF($B526="","",IFERROR(INDEX(Parc!$B$2:$B$301,MATCH($B526,Parc!$A$2:$A$301,0)),"Réf. inconnue"))</f>
      </c>
      <c r="D526" s="9"/>
      <c r="E526" s="9"/>
      <c r="F526" s="9"/>
      <c r="G526" s="9"/>
      <c r="H526" s="9"/>
      <c r="I526" s="24"/>
      <c r="J526" s="9"/>
      <c r="K526" s="9"/>
      <c r="L526" s="20">
        <f>IF(AND(ISNUMBER($A526),$B526&lt;&gt;"",$D526&lt;&gt;"Examen partiel (ne relance pas)"),IF($A526&lt;=TODAY(),$A526,0),0)</f>
      </c>
      <c r="M526" s="20">
        <f>IF($L526=0,"",$B526&amp;"|"&amp;$L526)</f>
      </c>
    </row>
    <row r="527" spans="1:13" x14ac:dyDescent="0.25">
      <c r="A527" s="24"/>
      <c r="B527" s="9"/>
      <c r="C527" s="20">
        <f>IF($B527="","",IFERROR(INDEX(Parc!$B$2:$B$301,MATCH($B527,Parc!$A$2:$A$301,0)),"Réf. inconnue"))</f>
      </c>
      <c r="D527" s="9"/>
      <c r="E527" s="9"/>
      <c r="F527" s="9"/>
      <c r="G527" s="9"/>
      <c r="H527" s="9"/>
      <c r="I527" s="24"/>
      <c r="J527" s="9"/>
      <c r="K527" s="9"/>
      <c r="L527" s="20">
        <f>IF(AND(ISNUMBER($A527),$B527&lt;&gt;"",$D527&lt;&gt;"Examen partiel (ne relance pas)"),IF($A527&lt;=TODAY(),$A527,0),0)</f>
      </c>
      <c r="M527" s="20">
        <f>IF($L527=0,"",$B527&amp;"|"&amp;$L527)</f>
      </c>
    </row>
    <row r="528" spans="1:13" x14ac:dyDescent="0.25">
      <c r="A528" s="24"/>
      <c r="B528" s="9"/>
      <c r="C528" s="20">
        <f>IF($B528="","",IFERROR(INDEX(Parc!$B$2:$B$301,MATCH($B528,Parc!$A$2:$A$301,0)),"Réf. inconnue"))</f>
      </c>
      <c r="D528" s="9"/>
      <c r="E528" s="9"/>
      <c r="F528" s="9"/>
      <c r="G528" s="9"/>
      <c r="H528" s="9"/>
      <c r="I528" s="24"/>
      <c r="J528" s="9"/>
      <c r="K528" s="9"/>
      <c r="L528" s="20">
        <f>IF(AND(ISNUMBER($A528),$B528&lt;&gt;"",$D528&lt;&gt;"Examen partiel (ne relance pas)"),IF($A528&lt;=TODAY(),$A528,0),0)</f>
      </c>
      <c r="M528" s="20">
        <f>IF($L528=0,"",$B528&amp;"|"&amp;$L528)</f>
      </c>
    </row>
    <row r="529" spans="1:13" x14ac:dyDescent="0.25">
      <c r="A529" s="24"/>
      <c r="B529" s="9"/>
      <c r="C529" s="20">
        <f>IF($B529="","",IFERROR(INDEX(Parc!$B$2:$B$301,MATCH($B529,Parc!$A$2:$A$301,0)),"Réf. inconnue"))</f>
      </c>
      <c r="D529" s="9"/>
      <c r="E529" s="9"/>
      <c r="F529" s="9"/>
      <c r="G529" s="9"/>
      <c r="H529" s="9"/>
      <c r="I529" s="24"/>
      <c r="J529" s="9"/>
      <c r="K529" s="9"/>
      <c r="L529" s="20">
        <f>IF(AND(ISNUMBER($A529),$B529&lt;&gt;"",$D529&lt;&gt;"Examen partiel (ne relance pas)"),IF($A529&lt;=TODAY(),$A529,0),0)</f>
      </c>
      <c r="M529" s="20">
        <f>IF($L529=0,"",$B529&amp;"|"&amp;$L529)</f>
      </c>
    </row>
    <row r="530" spans="1:13" x14ac:dyDescent="0.25">
      <c r="A530" s="24"/>
      <c r="B530" s="9"/>
      <c r="C530" s="20">
        <f>IF($B530="","",IFERROR(INDEX(Parc!$B$2:$B$301,MATCH($B530,Parc!$A$2:$A$301,0)),"Réf. inconnue"))</f>
      </c>
      <c r="D530" s="9"/>
      <c r="E530" s="9"/>
      <c r="F530" s="9"/>
      <c r="G530" s="9"/>
      <c r="H530" s="9"/>
      <c r="I530" s="24"/>
      <c r="J530" s="9"/>
      <c r="K530" s="9"/>
      <c r="L530" s="20">
        <f>IF(AND(ISNUMBER($A530),$B530&lt;&gt;"",$D530&lt;&gt;"Examen partiel (ne relance pas)"),IF($A530&lt;=TODAY(),$A530,0),0)</f>
      </c>
      <c r="M530" s="20">
        <f>IF($L530=0,"",$B530&amp;"|"&amp;$L530)</f>
      </c>
    </row>
    <row r="531" spans="1:13" x14ac:dyDescent="0.25">
      <c r="A531" s="24"/>
      <c r="B531" s="9"/>
      <c r="C531" s="20">
        <f>IF($B531="","",IFERROR(INDEX(Parc!$B$2:$B$301,MATCH($B531,Parc!$A$2:$A$301,0)),"Réf. inconnue"))</f>
      </c>
      <c r="D531" s="9"/>
      <c r="E531" s="9"/>
      <c r="F531" s="9"/>
      <c r="G531" s="9"/>
      <c r="H531" s="9"/>
      <c r="I531" s="24"/>
      <c r="J531" s="9"/>
      <c r="K531" s="9"/>
      <c r="L531" s="20">
        <f>IF(AND(ISNUMBER($A531),$B531&lt;&gt;"",$D531&lt;&gt;"Examen partiel (ne relance pas)"),IF($A531&lt;=TODAY(),$A531,0),0)</f>
      </c>
      <c r="M531" s="20">
        <f>IF($L531=0,"",$B531&amp;"|"&amp;$L531)</f>
      </c>
    </row>
    <row r="532" spans="1:13" x14ac:dyDescent="0.25">
      <c r="A532" s="24"/>
      <c r="B532" s="9"/>
      <c r="C532" s="20">
        <f>IF($B532="","",IFERROR(INDEX(Parc!$B$2:$B$301,MATCH($B532,Parc!$A$2:$A$301,0)),"Réf. inconnue"))</f>
      </c>
      <c r="D532" s="9"/>
      <c r="E532" s="9"/>
      <c r="F532" s="9"/>
      <c r="G532" s="9"/>
      <c r="H532" s="9"/>
      <c r="I532" s="24"/>
      <c r="J532" s="9"/>
      <c r="K532" s="9"/>
      <c r="L532" s="20">
        <f>IF(AND(ISNUMBER($A532),$B532&lt;&gt;"",$D532&lt;&gt;"Examen partiel (ne relance pas)"),IF($A532&lt;=TODAY(),$A532,0),0)</f>
      </c>
      <c r="M532" s="20">
        <f>IF($L532=0,"",$B532&amp;"|"&amp;$L532)</f>
      </c>
    </row>
    <row r="533" spans="1:13" x14ac:dyDescent="0.25">
      <c r="A533" s="24"/>
      <c r="B533" s="9"/>
      <c r="C533" s="20">
        <f>IF($B533="","",IFERROR(INDEX(Parc!$B$2:$B$301,MATCH($B533,Parc!$A$2:$A$301,0)),"Réf. inconnue"))</f>
      </c>
      <c r="D533" s="9"/>
      <c r="E533" s="9"/>
      <c r="F533" s="9"/>
      <c r="G533" s="9"/>
      <c r="H533" s="9"/>
      <c r="I533" s="24"/>
      <c r="J533" s="9"/>
      <c r="K533" s="9"/>
      <c r="L533" s="20">
        <f>IF(AND(ISNUMBER($A533),$B533&lt;&gt;"",$D533&lt;&gt;"Examen partiel (ne relance pas)"),IF($A533&lt;=TODAY(),$A533,0),0)</f>
      </c>
      <c r="M533" s="20">
        <f>IF($L533=0,"",$B533&amp;"|"&amp;$L533)</f>
      </c>
    </row>
    <row r="534" spans="1:13" x14ac:dyDescent="0.25">
      <c r="A534" s="24"/>
      <c r="B534" s="9"/>
      <c r="C534" s="20">
        <f>IF($B534="","",IFERROR(INDEX(Parc!$B$2:$B$301,MATCH($B534,Parc!$A$2:$A$301,0)),"Réf. inconnue"))</f>
      </c>
      <c r="D534" s="9"/>
      <c r="E534" s="9"/>
      <c r="F534" s="9"/>
      <c r="G534" s="9"/>
      <c r="H534" s="9"/>
      <c r="I534" s="24"/>
      <c r="J534" s="9"/>
      <c r="K534" s="9"/>
      <c r="L534" s="20">
        <f>IF(AND(ISNUMBER($A534),$B534&lt;&gt;"",$D534&lt;&gt;"Examen partiel (ne relance pas)"),IF($A534&lt;=TODAY(),$A534,0),0)</f>
      </c>
      <c r="M534" s="20">
        <f>IF($L534=0,"",$B534&amp;"|"&amp;$L534)</f>
      </c>
    </row>
    <row r="535" spans="1:13" x14ac:dyDescent="0.25">
      <c r="A535" s="24"/>
      <c r="B535" s="9"/>
      <c r="C535" s="20">
        <f>IF($B535="","",IFERROR(INDEX(Parc!$B$2:$B$301,MATCH($B535,Parc!$A$2:$A$301,0)),"Réf. inconnue"))</f>
      </c>
      <c r="D535" s="9"/>
      <c r="E535" s="9"/>
      <c r="F535" s="9"/>
      <c r="G535" s="9"/>
      <c r="H535" s="9"/>
      <c r="I535" s="24"/>
      <c r="J535" s="9"/>
      <c r="K535" s="9"/>
      <c r="L535" s="20">
        <f>IF(AND(ISNUMBER($A535),$B535&lt;&gt;"",$D535&lt;&gt;"Examen partiel (ne relance pas)"),IF($A535&lt;=TODAY(),$A535,0),0)</f>
      </c>
      <c r="M535" s="20">
        <f>IF($L535=0,"",$B535&amp;"|"&amp;$L535)</f>
      </c>
    </row>
    <row r="536" spans="1:13" x14ac:dyDescent="0.25">
      <c r="A536" s="24"/>
      <c r="B536" s="9"/>
      <c r="C536" s="20">
        <f>IF($B536="","",IFERROR(INDEX(Parc!$B$2:$B$301,MATCH($B536,Parc!$A$2:$A$301,0)),"Réf. inconnue"))</f>
      </c>
      <c r="D536" s="9"/>
      <c r="E536" s="9"/>
      <c r="F536" s="9"/>
      <c r="G536" s="9"/>
      <c r="H536" s="9"/>
      <c r="I536" s="24"/>
      <c r="J536" s="9"/>
      <c r="K536" s="9"/>
      <c r="L536" s="20">
        <f>IF(AND(ISNUMBER($A536),$B536&lt;&gt;"",$D536&lt;&gt;"Examen partiel (ne relance pas)"),IF($A536&lt;=TODAY(),$A536,0),0)</f>
      </c>
      <c r="M536" s="20">
        <f>IF($L536=0,"",$B536&amp;"|"&amp;$L536)</f>
      </c>
    </row>
    <row r="537" spans="1:13" x14ac:dyDescent="0.25">
      <c r="A537" s="24"/>
      <c r="B537" s="9"/>
      <c r="C537" s="20">
        <f>IF($B537="","",IFERROR(INDEX(Parc!$B$2:$B$301,MATCH($B537,Parc!$A$2:$A$301,0)),"Réf. inconnue"))</f>
      </c>
      <c r="D537" s="9"/>
      <c r="E537" s="9"/>
      <c r="F537" s="9"/>
      <c r="G537" s="9"/>
      <c r="H537" s="9"/>
      <c r="I537" s="24"/>
      <c r="J537" s="9"/>
      <c r="K537" s="9"/>
      <c r="L537" s="20">
        <f>IF(AND(ISNUMBER($A537),$B537&lt;&gt;"",$D537&lt;&gt;"Examen partiel (ne relance pas)"),IF($A537&lt;=TODAY(),$A537,0),0)</f>
      </c>
      <c r="M537" s="20">
        <f>IF($L537=0,"",$B537&amp;"|"&amp;$L537)</f>
      </c>
    </row>
    <row r="538" spans="1:13" x14ac:dyDescent="0.25">
      <c r="A538" s="24"/>
      <c r="B538" s="9"/>
      <c r="C538" s="20">
        <f>IF($B538="","",IFERROR(INDEX(Parc!$B$2:$B$301,MATCH($B538,Parc!$A$2:$A$301,0)),"Réf. inconnue"))</f>
      </c>
      <c r="D538" s="9"/>
      <c r="E538" s="9"/>
      <c r="F538" s="9"/>
      <c r="G538" s="9"/>
      <c r="H538" s="9"/>
      <c r="I538" s="24"/>
      <c r="J538" s="9"/>
      <c r="K538" s="9"/>
      <c r="L538" s="20">
        <f>IF(AND(ISNUMBER($A538),$B538&lt;&gt;"",$D538&lt;&gt;"Examen partiel (ne relance pas)"),IF($A538&lt;=TODAY(),$A538,0),0)</f>
      </c>
      <c r="M538" s="20">
        <f>IF($L538=0,"",$B538&amp;"|"&amp;$L538)</f>
      </c>
    </row>
    <row r="539" spans="1:13" x14ac:dyDescent="0.25">
      <c r="A539" s="24"/>
      <c r="B539" s="9"/>
      <c r="C539" s="20">
        <f>IF($B539="","",IFERROR(INDEX(Parc!$B$2:$B$301,MATCH($B539,Parc!$A$2:$A$301,0)),"Réf. inconnue"))</f>
      </c>
      <c r="D539" s="9"/>
      <c r="E539" s="9"/>
      <c r="F539" s="9"/>
      <c r="G539" s="9"/>
      <c r="H539" s="9"/>
      <c r="I539" s="24"/>
      <c r="J539" s="9"/>
      <c r="K539" s="9"/>
      <c r="L539" s="20">
        <f>IF(AND(ISNUMBER($A539),$B539&lt;&gt;"",$D539&lt;&gt;"Examen partiel (ne relance pas)"),IF($A539&lt;=TODAY(),$A539,0),0)</f>
      </c>
      <c r="M539" s="20">
        <f>IF($L539=0,"",$B539&amp;"|"&amp;$L539)</f>
      </c>
    </row>
    <row r="540" spans="1:13" x14ac:dyDescent="0.25">
      <c r="A540" s="24"/>
      <c r="B540" s="9"/>
      <c r="C540" s="20">
        <f>IF($B540="","",IFERROR(INDEX(Parc!$B$2:$B$301,MATCH($B540,Parc!$A$2:$A$301,0)),"Réf. inconnue"))</f>
      </c>
      <c r="D540" s="9"/>
      <c r="E540" s="9"/>
      <c r="F540" s="9"/>
      <c r="G540" s="9"/>
      <c r="H540" s="9"/>
      <c r="I540" s="24"/>
      <c r="J540" s="9"/>
      <c r="K540" s="9"/>
      <c r="L540" s="20">
        <f>IF(AND(ISNUMBER($A540),$B540&lt;&gt;"",$D540&lt;&gt;"Examen partiel (ne relance pas)"),IF($A540&lt;=TODAY(),$A540,0),0)</f>
      </c>
      <c r="M540" s="20">
        <f>IF($L540=0,"",$B540&amp;"|"&amp;$L540)</f>
      </c>
    </row>
    <row r="541" spans="1:13" x14ac:dyDescent="0.25">
      <c r="A541" s="24"/>
      <c r="B541" s="9"/>
      <c r="C541" s="20">
        <f>IF($B541="","",IFERROR(INDEX(Parc!$B$2:$B$301,MATCH($B541,Parc!$A$2:$A$301,0)),"Réf. inconnue"))</f>
      </c>
      <c r="D541" s="9"/>
      <c r="E541" s="9"/>
      <c r="F541" s="9"/>
      <c r="G541" s="9"/>
      <c r="H541" s="9"/>
      <c r="I541" s="24"/>
      <c r="J541" s="9"/>
      <c r="K541" s="9"/>
      <c r="L541" s="20">
        <f>IF(AND(ISNUMBER($A541),$B541&lt;&gt;"",$D541&lt;&gt;"Examen partiel (ne relance pas)"),IF($A541&lt;=TODAY(),$A541,0),0)</f>
      </c>
      <c r="M541" s="20">
        <f>IF($L541=0,"",$B541&amp;"|"&amp;$L541)</f>
      </c>
    </row>
    <row r="542" spans="1:13" x14ac:dyDescent="0.25">
      <c r="A542" s="24"/>
      <c r="B542" s="9"/>
      <c r="C542" s="20">
        <f>IF($B542="","",IFERROR(INDEX(Parc!$B$2:$B$301,MATCH($B542,Parc!$A$2:$A$301,0)),"Réf. inconnue"))</f>
      </c>
      <c r="D542" s="9"/>
      <c r="E542" s="9"/>
      <c r="F542" s="9"/>
      <c r="G542" s="9"/>
      <c r="H542" s="9"/>
      <c r="I542" s="24"/>
      <c r="J542" s="9"/>
      <c r="K542" s="9"/>
      <c r="L542" s="20">
        <f>IF(AND(ISNUMBER($A542),$B542&lt;&gt;"",$D542&lt;&gt;"Examen partiel (ne relance pas)"),IF($A542&lt;=TODAY(),$A542,0),0)</f>
      </c>
      <c r="M542" s="20">
        <f>IF($L542=0,"",$B542&amp;"|"&amp;$L542)</f>
      </c>
    </row>
    <row r="543" spans="1:13" x14ac:dyDescent="0.25">
      <c r="A543" s="24"/>
      <c r="B543" s="9"/>
      <c r="C543" s="20">
        <f>IF($B543="","",IFERROR(INDEX(Parc!$B$2:$B$301,MATCH($B543,Parc!$A$2:$A$301,0)),"Réf. inconnue"))</f>
      </c>
      <c r="D543" s="9"/>
      <c r="E543" s="9"/>
      <c r="F543" s="9"/>
      <c r="G543" s="9"/>
      <c r="H543" s="9"/>
      <c r="I543" s="24"/>
      <c r="J543" s="9"/>
      <c r="K543" s="9"/>
      <c r="L543" s="20">
        <f>IF(AND(ISNUMBER($A543),$B543&lt;&gt;"",$D543&lt;&gt;"Examen partiel (ne relance pas)"),IF($A543&lt;=TODAY(),$A543,0),0)</f>
      </c>
      <c r="M543" s="20">
        <f>IF($L543=0,"",$B543&amp;"|"&amp;$L543)</f>
      </c>
    </row>
    <row r="544" spans="1:13" x14ac:dyDescent="0.25">
      <c r="A544" s="24"/>
      <c r="B544" s="9"/>
      <c r="C544" s="20">
        <f>IF($B544="","",IFERROR(INDEX(Parc!$B$2:$B$301,MATCH($B544,Parc!$A$2:$A$301,0)),"Réf. inconnue"))</f>
      </c>
      <c r="D544" s="9"/>
      <c r="E544" s="9"/>
      <c r="F544" s="9"/>
      <c r="G544" s="9"/>
      <c r="H544" s="9"/>
      <c r="I544" s="24"/>
      <c r="J544" s="9"/>
      <c r="K544" s="9"/>
      <c r="L544" s="20">
        <f>IF(AND(ISNUMBER($A544),$B544&lt;&gt;"",$D544&lt;&gt;"Examen partiel (ne relance pas)"),IF($A544&lt;=TODAY(),$A544,0),0)</f>
      </c>
      <c r="M544" s="20">
        <f>IF($L544=0,"",$B544&amp;"|"&amp;$L544)</f>
      </c>
    </row>
    <row r="545" spans="1:13" x14ac:dyDescent="0.25">
      <c r="A545" s="24"/>
      <c r="B545" s="9"/>
      <c r="C545" s="20">
        <f>IF($B545="","",IFERROR(INDEX(Parc!$B$2:$B$301,MATCH($B545,Parc!$A$2:$A$301,0)),"Réf. inconnue"))</f>
      </c>
      <c r="D545" s="9"/>
      <c r="E545" s="9"/>
      <c r="F545" s="9"/>
      <c r="G545" s="9"/>
      <c r="H545" s="9"/>
      <c r="I545" s="24"/>
      <c r="J545" s="9"/>
      <c r="K545" s="9"/>
      <c r="L545" s="20">
        <f>IF(AND(ISNUMBER($A545),$B545&lt;&gt;"",$D545&lt;&gt;"Examen partiel (ne relance pas)"),IF($A545&lt;=TODAY(),$A545,0),0)</f>
      </c>
      <c r="M545" s="20">
        <f>IF($L545=0,"",$B545&amp;"|"&amp;$L545)</f>
      </c>
    </row>
    <row r="546" spans="1:13" x14ac:dyDescent="0.25">
      <c r="A546" s="24"/>
      <c r="B546" s="9"/>
      <c r="C546" s="20">
        <f>IF($B546="","",IFERROR(INDEX(Parc!$B$2:$B$301,MATCH($B546,Parc!$A$2:$A$301,0)),"Réf. inconnue"))</f>
      </c>
      <c r="D546" s="9"/>
      <c r="E546" s="9"/>
      <c r="F546" s="9"/>
      <c r="G546" s="9"/>
      <c r="H546" s="9"/>
      <c r="I546" s="24"/>
      <c r="J546" s="9"/>
      <c r="K546" s="9"/>
      <c r="L546" s="20">
        <f>IF(AND(ISNUMBER($A546),$B546&lt;&gt;"",$D546&lt;&gt;"Examen partiel (ne relance pas)"),IF($A546&lt;=TODAY(),$A546,0),0)</f>
      </c>
      <c r="M546" s="20">
        <f>IF($L546=0,"",$B546&amp;"|"&amp;$L546)</f>
      </c>
    </row>
    <row r="547" spans="1:13" x14ac:dyDescent="0.25">
      <c r="A547" s="24"/>
      <c r="B547" s="9"/>
      <c r="C547" s="20">
        <f>IF($B547="","",IFERROR(INDEX(Parc!$B$2:$B$301,MATCH($B547,Parc!$A$2:$A$301,0)),"Réf. inconnue"))</f>
      </c>
      <c r="D547" s="9"/>
      <c r="E547" s="9"/>
      <c r="F547" s="9"/>
      <c r="G547" s="9"/>
      <c r="H547" s="9"/>
      <c r="I547" s="24"/>
      <c r="J547" s="9"/>
      <c r="K547" s="9"/>
      <c r="L547" s="20">
        <f>IF(AND(ISNUMBER($A547),$B547&lt;&gt;"",$D547&lt;&gt;"Examen partiel (ne relance pas)"),IF($A547&lt;=TODAY(),$A547,0),0)</f>
      </c>
      <c r="M547" s="20">
        <f>IF($L547=0,"",$B547&amp;"|"&amp;$L547)</f>
      </c>
    </row>
    <row r="548" spans="1:13" x14ac:dyDescent="0.25">
      <c r="A548" s="24"/>
      <c r="B548" s="9"/>
      <c r="C548" s="20">
        <f>IF($B548="","",IFERROR(INDEX(Parc!$B$2:$B$301,MATCH($B548,Parc!$A$2:$A$301,0)),"Réf. inconnue"))</f>
      </c>
      <c r="D548" s="9"/>
      <c r="E548" s="9"/>
      <c r="F548" s="9"/>
      <c r="G548" s="9"/>
      <c r="H548" s="9"/>
      <c r="I548" s="24"/>
      <c r="J548" s="9"/>
      <c r="K548" s="9"/>
      <c r="L548" s="20">
        <f>IF(AND(ISNUMBER($A548),$B548&lt;&gt;"",$D548&lt;&gt;"Examen partiel (ne relance pas)"),IF($A548&lt;=TODAY(),$A548,0),0)</f>
      </c>
      <c r="M548" s="20">
        <f>IF($L548=0,"",$B548&amp;"|"&amp;$L548)</f>
      </c>
    </row>
    <row r="549" spans="1:13" x14ac:dyDescent="0.25">
      <c r="A549" s="24"/>
      <c r="B549" s="9"/>
      <c r="C549" s="20">
        <f>IF($B549="","",IFERROR(INDEX(Parc!$B$2:$B$301,MATCH($B549,Parc!$A$2:$A$301,0)),"Réf. inconnue"))</f>
      </c>
      <c r="D549" s="9"/>
      <c r="E549" s="9"/>
      <c r="F549" s="9"/>
      <c r="G549" s="9"/>
      <c r="H549" s="9"/>
      <c r="I549" s="24"/>
      <c r="J549" s="9"/>
      <c r="K549" s="9"/>
      <c r="L549" s="20">
        <f>IF(AND(ISNUMBER($A549),$B549&lt;&gt;"",$D549&lt;&gt;"Examen partiel (ne relance pas)"),IF($A549&lt;=TODAY(),$A549,0),0)</f>
      </c>
      <c r="M549" s="20">
        <f>IF($L549=0,"",$B549&amp;"|"&amp;$L549)</f>
      </c>
    </row>
    <row r="550" spans="1:13" x14ac:dyDescent="0.25">
      <c r="A550" s="24"/>
      <c r="B550" s="9"/>
      <c r="C550" s="20">
        <f>IF($B550="","",IFERROR(INDEX(Parc!$B$2:$B$301,MATCH($B550,Parc!$A$2:$A$301,0)),"Réf. inconnue"))</f>
      </c>
      <c r="D550" s="9"/>
      <c r="E550" s="9"/>
      <c r="F550" s="9"/>
      <c r="G550" s="9"/>
      <c r="H550" s="9"/>
      <c r="I550" s="24"/>
      <c r="J550" s="9"/>
      <c r="K550" s="9"/>
      <c r="L550" s="20">
        <f>IF(AND(ISNUMBER($A550),$B550&lt;&gt;"",$D550&lt;&gt;"Examen partiel (ne relance pas)"),IF($A550&lt;=TODAY(),$A550,0),0)</f>
      </c>
      <c r="M550" s="20">
        <f>IF($L550=0,"",$B550&amp;"|"&amp;$L550)</f>
      </c>
    </row>
    <row r="551" spans="1:13" x14ac:dyDescent="0.25">
      <c r="A551" s="24"/>
      <c r="B551" s="9"/>
      <c r="C551" s="20">
        <f>IF($B551="","",IFERROR(INDEX(Parc!$B$2:$B$301,MATCH($B551,Parc!$A$2:$A$301,0)),"Réf. inconnue"))</f>
      </c>
      <c r="D551" s="9"/>
      <c r="E551" s="9"/>
      <c r="F551" s="9"/>
      <c r="G551" s="9"/>
      <c r="H551" s="9"/>
      <c r="I551" s="24"/>
      <c r="J551" s="9"/>
      <c r="K551" s="9"/>
      <c r="L551" s="20">
        <f>IF(AND(ISNUMBER($A551),$B551&lt;&gt;"",$D551&lt;&gt;"Examen partiel (ne relance pas)"),IF($A551&lt;=TODAY(),$A551,0),0)</f>
      </c>
      <c r="M551" s="20">
        <f>IF($L551=0,"",$B551&amp;"|"&amp;$L551)</f>
      </c>
    </row>
    <row r="552" spans="1:13" x14ac:dyDescent="0.25">
      <c r="A552" s="24"/>
      <c r="B552" s="9"/>
      <c r="C552" s="20">
        <f>IF($B552="","",IFERROR(INDEX(Parc!$B$2:$B$301,MATCH($B552,Parc!$A$2:$A$301,0)),"Réf. inconnue"))</f>
      </c>
      <c r="D552" s="9"/>
      <c r="E552" s="9"/>
      <c r="F552" s="9"/>
      <c r="G552" s="9"/>
      <c r="H552" s="9"/>
      <c r="I552" s="24"/>
      <c r="J552" s="9"/>
      <c r="K552" s="9"/>
      <c r="L552" s="20">
        <f>IF(AND(ISNUMBER($A552),$B552&lt;&gt;"",$D552&lt;&gt;"Examen partiel (ne relance pas)"),IF($A552&lt;=TODAY(),$A552,0),0)</f>
      </c>
      <c r="M552" s="20">
        <f>IF($L552=0,"",$B552&amp;"|"&amp;$L552)</f>
      </c>
    </row>
    <row r="553" spans="1:13" x14ac:dyDescent="0.25">
      <c r="A553" s="24"/>
      <c r="B553" s="9"/>
      <c r="C553" s="20">
        <f>IF($B553="","",IFERROR(INDEX(Parc!$B$2:$B$301,MATCH($B553,Parc!$A$2:$A$301,0)),"Réf. inconnue"))</f>
      </c>
      <c r="D553" s="9"/>
      <c r="E553" s="9"/>
      <c r="F553" s="9"/>
      <c r="G553" s="9"/>
      <c r="H553" s="9"/>
      <c r="I553" s="24"/>
      <c r="J553" s="9"/>
      <c r="K553" s="9"/>
      <c r="L553" s="20">
        <f>IF(AND(ISNUMBER($A553),$B553&lt;&gt;"",$D553&lt;&gt;"Examen partiel (ne relance pas)"),IF($A553&lt;=TODAY(),$A553,0),0)</f>
      </c>
      <c r="M553" s="20">
        <f>IF($L553=0,"",$B553&amp;"|"&amp;$L553)</f>
      </c>
    </row>
    <row r="554" spans="1:13" x14ac:dyDescent="0.25">
      <c r="A554" s="24"/>
      <c r="B554" s="9"/>
      <c r="C554" s="20">
        <f>IF($B554="","",IFERROR(INDEX(Parc!$B$2:$B$301,MATCH($B554,Parc!$A$2:$A$301,0)),"Réf. inconnue"))</f>
      </c>
      <c r="D554" s="9"/>
      <c r="E554" s="9"/>
      <c r="F554" s="9"/>
      <c r="G554" s="9"/>
      <c r="H554" s="9"/>
      <c r="I554" s="24"/>
      <c r="J554" s="9"/>
      <c r="K554" s="9"/>
      <c r="L554" s="20">
        <f>IF(AND(ISNUMBER($A554),$B554&lt;&gt;"",$D554&lt;&gt;"Examen partiel (ne relance pas)"),IF($A554&lt;=TODAY(),$A554,0),0)</f>
      </c>
      <c r="M554" s="20">
        <f>IF($L554=0,"",$B554&amp;"|"&amp;$L554)</f>
      </c>
    </row>
    <row r="555" spans="1:13" x14ac:dyDescent="0.25">
      <c r="A555" s="24"/>
      <c r="B555" s="9"/>
      <c r="C555" s="20">
        <f>IF($B555="","",IFERROR(INDEX(Parc!$B$2:$B$301,MATCH($B555,Parc!$A$2:$A$301,0)),"Réf. inconnue"))</f>
      </c>
      <c r="D555" s="9"/>
      <c r="E555" s="9"/>
      <c r="F555" s="9"/>
      <c r="G555" s="9"/>
      <c r="H555" s="9"/>
      <c r="I555" s="24"/>
      <c r="J555" s="9"/>
      <c r="K555" s="9"/>
      <c r="L555" s="20">
        <f>IF(AND(ISNUMBER($A555),$B555&lt;&gt;"",$D555&lt;&gt;"Examen partiel (ne relance pas)"),IF($A555&lt;=TODAY(),$A555,0),0)</f>
      </c>
      <c r="M555" s="20">
        <f>IF($L555=0,"",$B555&amp;"|"&amp;$L555)</f>
      </c>
    </row>
    <row r="556" spans="1:13" x14ac:dyDescent="0.25">
      <c r="A556" s="24"/>
      <c r="B556" s="9"/>
      <c r="C556" s="20">
        <f>IF($B556="","",IFERROR(INDEX(Parc!$B$2:$B$301,MATCH($B556,Parc!$A$2:$A$301,0)),"Réf. inconnue"))</f>
      </c>
      <c r="D556" s="9"/>
      <c r="E556" s="9"/>
      <c r="F556" s="9"/>
      <c r="G556" s="9"/>
      <c r="H556" s="9"/>
      <c r="I556" s="24"/>
      <c r="J556" s="9"/>
      <c r="K556" s="9"/>
      <c r="L556" s="20">
        <f>IF(AND(ISNUMBER($A556),$B556&lt;&gt;"",$D556&lt;&gt;"Examen partiel (ne relance pas)"),IF($A556&lt;=TODAY(),$A556,0),0)</f>
      </c>
      <c r="M556" s="20">
        <f>IF($L556=0,"",$B556&amp;"|"&amp;$L556)</f>
      </c>
    </row>
    <row r="557" spans="1:13" x14ac:dyDescent="0.25">
      <c r="A557" s="24"/>
      <c r="B557" s="9"/>
      <c r="C557" s="20">
        <f>IF($B557="","",IFERROR(INDEX(Parc!$B$2:$B$301,MATCH($B557,Parc!$A$2:$A$301,0)),"Réf. inconnue"))</f>
      </c>
      <c r="D557" s="9"/>
      <c r="E557" s="9"/>
      <c r="F557" s="9"/>
      <c r="G557" s="9"/>
      <c r="H557" s="9"/>
      <c r="I557" s="24"/>
      <c r="J557" s="9"/>
      <c r="K557" s="9"/>
      <c r="L557" s="20">
        <f>IF(AND(ISNUMBER($A557),$B557&lt;&gt;"",$D557&lt;&gt;"Examen partiel (ne relance pas)"),IF($A557&lt;=TODAY(),$A557,0),0)</f>
      </c>
      <c r="M557" s="20">
        <f>IF($L557=0,"",$B557&amp;"|"&amp;$L557)</f>
      </c>
    </row>
    <row r="558" spans="1:13" x14ac:dyDescent="0.25">
      <c r="A558" s="24"/>
      <c r="B558" s="9"/>
      <c r="C558" s="20">
        <f>IF($B558="","",IFERROR(INDEX(Parc!$B$2:$B$301,MATCH($B558,Parc!$A$2:$A$301,0)),"Réf. inconnue"))</f>
      </c>
      <c r="D558" s="9"/>
      <c r="E558" s="9"/>
      <c r="F558" s="9"/>
      <c r="G558" s="9"/>
      <c r="H558" s="9"/>
      <c r="I558" s="24"/>
      <c r="J558" s="9"/>
      <c r="K558" s="9"/>
      <c r="L558" s="20">
        <f>IF(AND(ISNUMBER($A558),$B558&lt;&gt;"",$D558&lt;&gt;"Examen partiel (ne relance pas)"),IF($A558&lt;=TODAY(),$A558,0),0)</f>
      </c>
      <c r="M558" s="20">
        <f>IF($L558=0,"",$B558&amp;"|"&amp;$L558)</f>
      </c>
    </row>
    <row r="559" spans="1:13" x14ac:dyDescent="0.25">
      <c r="A559" s="24"/>
      <c r="B559" s="9"/>
      <c r="C559" s="20">
        <f>IF($B559="","",IFERROR(INDEX(Parc!$B$2:$B$301,MATCH($B559,Parc!$A$2:$A$301,0)),"Réf. inconnue"))</f>
      </c>
      <c r="D559" s="9"/>
      <c r="E559" s="9"/>
      <c r="F559" s="9"/>
      <c r="G559" s="9"/>
      <c r="H559" s="9"/>
      <c r="I559" s="24"/>
      <c r="J559" s="9"/>
      <c r="K559" s="9"/>
      <c r="L559" s="20">
        <f>IF(AND(ISNUMBER($A559),$B559&lt;&gt;"",$D559&lt;&gt;"Examen partiel (ne relance pas)"),IF($A559&lt;=TODAY(),$A559,0),0)</f>
      </c>
      <c r="M559" s="20">
        <f>IF($L559=0,"",$B559&amp;"|"&amp;$L559)</f>
      </c>
    </row>
    <row r="560" spans="1:13" x14ac:dyDescent="0.25">
      <c r="A560" s="24"/>
      <c r="B560" s="9"/>
      <c r="C560" s="20">
        <f>IF($B560="","",IFERROR(INDEX(Parc!$B$2:$B$301,MATCH($B560,Parc!$A$2:$A$301,0)),"Réf. inconnue"))</f>
      </c>
      <c r="D560" s="9"/>
      <c r="E560" s="9"/>
      <c r="F560" s="9"/>
      <c r="G560" s="9"/>
      <c r="H560" s="9"/>
      <c r="I560" s="24"/>
      <c r="J560" s="9"/>
      <c r="K560" s="9"/>
      <c r="L560" s="20">
        <f>IF(AND(ISNUMBER($A560),$B560&lt;&gt;"",$D560&lt;&gt;"Examen partiel (ne relance pas)"),IF($A560&lt;=TODAY(),$A560,0),0)</f>
      </c>
      <c r="M560" s="20">
        <f>IF($L560=0,"",$B560&amp;"|"&amp;$L560)</f>
      </c>
    </row>
    <row r="561" spans="1:13" x14ac:dyDescent="0.25">
      <c r="A561" s="24"/>
      <c r="B561" s="9"/>
      <c r="C561" s="20">
        <f>IF($B561="","",IFERROR(INDEX(Parc!$B$2:$B$301,MATCH($B561,Parc!$A$2:$A$301,0)),"Réf. inconnue"))</f>
      </c>
      <c r="D561" s="9"/>
      <c r="E561" s="9"/>
      <c r="F561" s="9"/>
      <c r="G561" s="9"/>
      <c r="H561" s="9"/>
      <c r="I561" s="24"/>
      <c r="J561" s="9"/>
      <c r="K561" s="9"/>
      <c r="L561" s="20">
        <f>IF(AND(ISNUMBER($A561),$B561&lt;&gt;"",$D561&lt;&gt;"Examen partiel (ne relance pas)"),IF($A561&lt;=TODAY(),$A561,0),0)</f>
      </c>
      <c r="M561" s="20">
        <f>IF($L561=0,"",$B561&amp;"|"&amp;$L561)</f>
      </c>
    </row>
    <row r="562" spans="1:13" x14ac:dyDescent="0.25">
      <c r="A562" s="24"/>
      <c r="B562" s="9"/>
      <c r="C562" s="20">
        <f>IF($B562="","",IFERROR(INDEX(Parc!$B$2:$B$301,MATCH($B562,Parc!$A$2:$A$301,0)),"Réf. inconnue"))</f>
      </c>
      <c r="D562" s="9"/>
      <c r="E562" s="9"/>
      <c r="F562" s="9"/>
      <c r="G562" s="9"/>
      <c r="H562" s="9"/>
      <c r="I562" s="24"/>
      <c r="J562" s="9"/>
      <c r="K562" s="9"/>
      <c r="L562" s="20">
        <f>IF(AND(ISNUMBER($A562),$B562&lt;&gt;"",$D562&lt;&gt;"Examen partiel (ne relance pas)"),IF($A562&lt;=TODAY(),$A562,0),0)</f>
      </c>
      <c r="M562" s="20">
        <f>IF($L562=0,"",$B562&amp;"|"&amp;$L562)</f>
      </c>
    </row>
    <row r="563" spans="1:13" x14ac:dyDescent="0.25">
      <c r="A563" s="24"/>
      <c r="B563" s="9"/>
      <c r="C563" s="20">
        <f>IF($B563="","",IFERROR(INDEX(Parc!$B$2:$B$301,MATCH($B563,Parc!$A$2:$A$301,0)),"Réf. inconnue"))</f>
      </c>
      <c r="D563" s="9"/>
      <c r="E563" s="9"/>
      <c r="F563" s="9"/>
      <c r="G563" s="9"/>
      <c r="H563" s="9"/>
      <c r="I563" s="24"/>
      <c r="J563" s="9"/>
      <c r="K563" s="9"/>
      <c r="L563" s="20">
        <f>IF(AND(ISNUMBER($A563),$B563&lt;&gt;"",$D563&lt;&gt;"Examen partiel (ne relance pas)"),IF($A563&lt;=TODAY(),$A563,0),0)</f>
      </c>
      <c r="M563" s="20">
        <f>IF($L563=0,"",$B563&amp;"|"&amp;$L563)</f>
      </c>
    </row>
    <row r="564" spans="1:13" x14ac:dyDescent="0.25">
      <c r="A564" s="24"/>
      <c r="B564" s="9"/>
      <c r="C564" s="20">
        <f>IF($B564="","",IFERROR(INDEX(Parc!$B$2:$B$301,MATCH($B564,Parc!$A$2:$A$301,0)),"Réf. inconnue"))</f>
      </c>
      <c r="D564" s="9"/>
      <c r="E564" s="9"/>
      <c r="F564" s="9"/>
      <c r="G564" s="9"/>
      <c r="H564" s="9"/>
      <c r="I564" s="24"/>
      <c r="J564" s="9"/>
      <c r="K564" s="9"/>
      <c r="L564" s="20">
        <f>IF(AND(ISNUMBER($A564),$B564&lt;&gt;"",$D564&lt;&gt;"Examen partiel (ne relance pas)"),IF($A564&lt;=TODAY(),$A564,0),0)</f>
      </c>
      <c r="M564" s="20">
        <f>IF($L564=0,"",$B564&amp;"|"&amp;$L564)</f>
      </c>
    </row>
    <row r="565" spans="1:13" x14ac:dyDescent="0.25">
      <c r="A565" s="24"/>
      <c r="B565" s="9"/>
      <c r="C565" s="20">
        <f>IF($B565="","",IFERROR(INDEX(Parc!$B$2:$B$301,MATCH($B565,Parc!$A$2:$A$301,0)),"Réf. inconnue"))</f>
      </c>
      <c r="D565" s="9"/>
      <c r="E565" s="9"/>
      <c r="F565" s="9"/>
      <c r="G565" s="9"/>
      <c r="H565" s="9"/>
      <c r="I565" s="24"/>
      <c r="J565" s="9"/>
      <c r="K565" s="9"/>
      <c r="L565" s="20">
        <f>IF(AND(ISNUMBER($A565),$B565&lt;&gt;"",$D565&lt;&gt;"Examen partiel (ne relance pas)"),IF($A565&lt;=TODAY(),$A565,0),0)</f>
      </c>
      <c r="M565" s="20">
        <f>IF($L565=0,"",$B565&amp;"|"&amp;$L565)</f>
      </c>
    </row>
    <row r="566" spans="1:13" x14ac:dyDescent="0.25">
      <c r="A566" s="24"/>
      <c r="B566" s="9"/>
      <c r="C566" s="20">
        <f>IF($B566="","",IFERROR(INDEX(Parc!$B$2:$B$301,MATCH($B566,Parc!$A$2:$A$301,0)),"Réf. inconnue"))</f>
      </c>
      <c r="D566" s="9"/>
      <c r="E566" s="9"/>
      <c r="F566" s="9"/>
      <c r="G566" s="9"/>
      <c r="H566" s="9"/>
      <c r="I566" s="24"/>
      <c r="J566" s="9"/>
      <c r="K566" s="9"/>
      <c r="L566" s="20">
        <f>IF(AND(ISNUMBER($A566),$B566&lt;&gt;"",$D566&lt;&gt;"Examen partiel (ne relance pas)"),IF($A566&lt;=TODAY(),$A566,0),0)</f>
      </c>
      <c r="M566" s="20">
        <f>IF($L566=0,"",$B566&amp;"|"&amp;$L566)</f>
      </c>
    </row>
    <row r="567" spans="1:13" x14ac:dyDescent="0.25">
      <c r="A567" s="24"/>
      <c r="B567" s="9"/>
      <c r="C567" s="20">
        <f>IF($B567="","",IFERROR(INDEX(Parc!$B$2:$B$301,MATCH($B567,Parc!$A$2:$A$301,0)),"Réf. inconnue"))</f>
      </c>
      <c r="D567" s="9"/>
      <c r="E567" s="9"/>
      <c r="F567" s="9"/>
      <c r="G567" s="9"/>
      <c r="H567" s="9"/>
      <c r="I567" s="24"/>
      <c r="J567" s="9"/>
      <c r="K567" s="9"/>
      <c r="L567" s="20">
        <f>IF(AND(ISNUMBER($A567),$B567&lt;&gt;"",$D567&lt;&gt;"Examen partiel (ne relance pas)"),IF($A567&lt;=TODAY(),$A567,0),0)</f>
      </c>
      <c r="M567" s="20">
        <f>IF($L567=0,"",$B567&amp;"|"&amp;$L567)</f>
      </c>
    </row>
    <row r="568" spans="1:13" x14ac:dyDescent="0.25">
      <c r="A568" s="24"/>
      <c r="B568" s="9"/>
      <c r="C568" s="20">
        <f>IF($B568="","",IFERROR(INDEX(Parc!$B$2:$B$301,MATCH($B568,Parc!$A$2:$A$301,0)),"Réf. inconnue"))</f>
      </c>
      <c r="D568" s="9"/>
      <c r="E568" s="9"/>
      <c r="F568" s="9"/>
      <c r="G568" s="9"/>
      <c r="H568" s="9"/>
      <c r="I568" s="24"/>
      <c r="J568" s="9"/>
      <c r="K568" s="9"/>
      <c r="L568" s="20">
        <f>IF(AND(ISNUMBER($A568),$B568&lt;&gt;"",$D568&lt;&gt;"Examen partiel (ne relance pas)"),IF($A568&lt;=TODAY(),$A568,0),0)</f>
      </c>
      <c r="M568" s="20">
        <f>IF($L568=0,"",$B568&amp;"|"&amp;$L568)</f>
      </c>
    </row>
    <row r="569" spans="1:13" x14ac:dyDescent="0.25">
      <c r="A569" s="24"/>
      <c r="B569" s="9"/>
      <c r="C569" s="20">
        <f>IF($B569="","",IFERROR(INDEX(Parc!$B$2:$B$301,MATCH($B569,Parc!$A$2:$A$301,0)),"Réf. inconnue"))</f>
      </c>
      <c r="D569" s="9"/>
      <c r="E569" s="9"/>
      <c r="F569" s="9"/>
      <c r="G569" s="9"/>
      <c r="H569" s="9"/>
      <c r="I569" s="24"/>
      <c r="J569" s="9"/>
      <c r="K569" s="9"/>
      <c r="L569" s="20">
        <f>IF(AND(ISNUMBER($A569),$B569&lt;&gt;"",$D569&lt;&gt;"Examen partiel (ne relance pas)"),IF($A569&lt;=TODAY(),$A569,0),0)</f>
      </c>
      <c r="M569" s="20">
        <f>IF($L569=0,"",$B569&amp;"|"&amp;$L569)</f>
      </c>
    </row>
    <row r="570" spans="1:13" x14ac:dyDescent="0.25">
      <c r="A570" s="24"/>
      <c r="B570" s="9"/>
      <c r="C570" s="20">
        <f>IF($B570="","",IFERROR(INDEX(Parc!$B$2:$B$301,MATCH($B570,Parc!$A$2:$A$301,0)),"Réf. inconnue"))</f>
      </c>
      <c r="D570" s="9"/>
      <c r="E570" s="9"/>
      <c r="F570" s="9"/>
      <c r="G570" s="9"/>
      <c r="H570" s="9"/>
      <c r="I570" s="24"/>
      <c r="J570" s="9"/>
      <c r="K570" s="9"/>
      <c r="L570" s="20">
        <f>IF(AND(ISNUMBER($A570),$B570&lt;&gt;"",$D570&lt;&gt;"Examen partiel (ne relance pas)"),IF($A570&lt;=TODAY(),$A570,0),0)</f>
      </c>
      <c r="M570" s="20">
        <f>IF($L570=0,"",$B570&amp;"|"&amp;$L570)</f>
      </c>
    </row>
    <row r="571" spans="1:13" x14ac:dyDescent="0.25">
      <c r="A571" s="24"/>
      <c r="B571" s="9"/>
      <c r="C571" s="20">
        <f>IF($B571="","",IFERROR(INDEX(Parc!$B$2:$B$301,MATCH($B571,Parc!$A$2:$A$301,0)),"Réf. inconnue"))</f>
      </c>
      <c r="D571" s="9"/>
      <c r="E571" s="9"/>
      <c r="F571" s="9"/>
      <c r="G571" s="9"/>
      <c r="H571" s="9"/>
      <c r="I571" s="24"/>
      <c r="J571" s="9"/>
      <c r="K571" s="9"/>
      <c r="L571" s="20">
        <f>IF(AND(ISNUMBER($A571),$B571&lt;&gt;"",$D571&lt;&gt;"Examen partiel (ne relance pas)"),IF($A571&lt;=TODAY(),$A571,0),0)</f>
      </c>
      <c r="M571" s="20">
        <f>IF($L571=0,"",$B571&amp;"|"&amp;$L571)</f>
      </c>
    </row>
    <row r="572" spans="1:13" x14ac:dyDescent="0.25">
      <c r="A572" s="24"/>
      <c r="B572" s="9"/>
      <c r="C572" s="20">
        <f>IF($B572="","",IFERROR(INDEX(Parc!$B$2:$B$301,MATCH($B572,Parc!$A$2:$A$301,0)),"Réf. inconnue"))</f>
      </c>
      <c r="D572" s="9"/>
      <c r="E572" s="9"/>
      <c r="F572" s="9"/>
      <c r="G572" s="9"/>
      <c r="H572" s="9"/>
      <c r="I572" s="24"/>
      <c r="J572" s="9"/>
      <c r="K572" s="9"/>
      <c r="L572" s="20">
        <f>IF(AND(ISNUMBER($A572),$B572&lt;&gt;"",$D572&lt;&gt;"Examen partiel (ne relance pas)"),IF($A572&lt;=TODAY(),$A572,0),0)</f>
      </c>
      <c r="M572" s="20">
        <f>IF($L572=0,"",$B572&amp;"|"&amp;$L572)</f>
      </c>
    </row>
    <row r="573" spans="1:13" x14ac:dyDescent="0.25">
      <c r="A573" s="24"/>
      <c r="B573" s="9"/>
      <c r="C573" s="20">
        <f>IF($B573="","",IFERROR(INDEX(Parc!$B$2:$B$301,MATCH($B573,Parc!$A$2:$A$301,0)),"Réf. inconnue"))</f>
      </c>
      <c r="D573" s="9"/>
      <c r="E573" s="9"/>
      <c r="F573" s="9"/>
      <c r="G573" s="9"/>
      <c r="H573" s="9"/>
      <c r="I573" s="24"/>
      <c r="J573" s="9"/>
      <c r="K573" s="9"/>
      <c r="L573" s="20">
        <f>IF(AND(ISNUMBER($A573),$B573&lt;&gt;"",$D573&lt;&gt;"Examen partiel (ne relance pas)"),IF($A573&lt;=TODAY(),$A573,0),0)</f>
      </c>
      <c r="M573" s="20">
        <f>IF($L573=0,"",$B573&amp;"|"&amp;$L573)</f>
      </c>
    </row>
    <row r="574" spans="1:13" x14ac:dyDescent="0.25">
      <c r="A574" s="24"/>
      <c r="B574" s="9"/>
      <c r="C574" s="20">
        <f>IF($B574="","",IFERROR(INDEX(Parc!$B$2:$B$301,MATCH($B574,Parc!$A$2:$A$301,0)),"Réf. inconnue"))</f>
      </c>
      <c r="D574" s="9"/>
      <c r="E574" s="9"/>
      <c r="F574" s="9"/>
      <c r="G574" s="9"/>
      <c r="H574" s="9"/>
      <c r="I574" s="24"/>
      <c r="J574" s="9"/>
      <c r="K574" s="9"/>
      <c r="L574" s="20">
        <f>IF(AND(ISNUMBER($A574),$B574&lt;&gt;"",$D574&lt;&gt;"Examen partiel (ne relance pas)"),IF($A574&lt;=TODAY(),$A574,0),0)</f>
      </c>
      <c r="M574" s="20">
        <f>IF($L574=0,"",$B574&amp;"|"&amp;$L574)</f>
      </c>
    </row>
    <row r="575" spans="1:13" x14ac:dyDescent="0.25">
      <c r="A575" s="24"/>
      <c r="B575" s="9"/>
      <c r="C575" s="20">
        <f>IF($B575="","",IFERROR(INDEX(Parc!$B$2:$B$301,MATCH($B575,Parc!$A$2:$A$301,0)),"Réf. inconnue"))</f>
      </c>
      <c r="D575" s="9"/>
      <c r="E575" s="9"/>
      <c r="F575" s="9"/>
      <c r="G575" s="9"/>
      <c r="H575" s="9"/>
      <c r="I575" s="24"/>
      <c r="J575" s="9"/>
      <c r="K575" s="9"/>
      <c r="L575" s="20">
        <f>IF(AND(ISNUMBER($A575),$B575&lt;&gt;"",$D575&lt;&gt;"Examen partiel (ne relance pas)"),IF($A575&lt;=TODAY(),$A575,0),0)</f>
      </c>
      <c r="M575" s="20">
        <f>IF($L575=0,"",$B575&amp;"|"&amp;$L575)</f>
      </c>
    </row>
    <row r="576" spans="1:13" x14ac:dyDescent="0.25">
      <c r="A576" s="24"/>
      <c r="B576" s="9"/>
      <c r="C576" s="20">
        <f>IF($B576="","",IFERROR(INDEX(Parc!$B$2:$B$301,MATCH($B576,Parc!$A$2:$A$301,0)),"Réf. inconnue"))</f>
      </c>
      <c r="D576" s="9"/>
      <c r="E576" s="9"/>
      <c r="F576" s="9"/>
      <c r="G576" s="9"/>
      <c r="H576" s="9"/>
      <c r="I576" s="24"/>
      <c r="J576" s="9"/>
      <c r="K576" s="9"/>
      <c r="L576" s="20">
        <f>IF(AND(ISNUMBER($A576),$B576&lt;&gt;"",$D576&lt;&gt;"Examen partiel (ne relance pas)"),IF($A576&lt;=TODAY(),$A576,0),0)</f>
      </c>
      <c r="M576" s="20">
        <f>IF($L576=0,"",$B576&amp;"|"&amp;$L576)</f>
      </c>
    </row>
    <row r="577" spans="1:13" x14ac:dyDescent="0.25">
      <c r="A577" s="24"/>
      <c r="B577" s="9"/>
      <c r="C577" s="20">
        <f>IF($B577="","",IFERROR(INDEX(Parc!$B$2:$B$301,MATCH($B577,Parc!$A$2:$A$301,0)),"Réf. inconnue"))</f>
      </c>
      <c r="D577" s="9"/>
      <c r="E577" s="9"/>
      <c r="F577" s="9"/>
      <c r="G577" s="9"/>
      <c r="H577" s="9"/>
      <c r="I577" s="24"/>
      <c r="J577" s="9"/>
      <c r="K577" s="9"/>
      <c r="L577" s="20">
        <f>IF(AND(ISNUMBER($A577),$B577&lt;&gt;"",$D577&lt;&gt;"Examen partiel (ne relance pas)"),IF($A577&lt;=TODAY(),$A577,0),0)</f>
      </c>
      <c r="M577" s="20">
        <f>IF($L577=0,"",$B577&amp;"|"&amp;$L577)</f>
      </c>
    </row>
    <row r="578" spans="1:13" x14ac:dyDescent="0.25">
      <c r="A578" s="24"/>
      <c r="B578" s="9"/>
      <c r="C578" s="20">
        <f>IF($B578="","",IFERROR(INDEX(Parc!$B$2:$B$301,MATCH($B578,Parc!$A$2:$A$301,0)),"Réf. inconnue"))</f>
      </c>
      <c r="D578" s="9"/>
      <c r="E578" s="9"/>
      <c r="F578" s="9"/>
      <c r="G578" s="9"/>
      <c r="H578" s="9"/>
      <c r="I578" s="24"/>
      <c r="J578" s="9"/>
      <c r="K578" s="9"/>
      <c r="L578" s="20">
        <f>IF(AND(ISNUMBER($A578),$B578&lt;&gt;"",$D578&lt;&gt;"Examen partiel (ne relance pas)"),IF($A578&lt;=TODAY(),$A578,0),0)</f>
      </c>
      <c r="M578" s="20">
        <f>IF($L578=0,"",$B578&amp;"|"&amp;$L578)</f>
      </c>
    </row>
    <row r="579" spans="1:13" x14ac:dyDescent="0.25">
      <c r="A579" s="24"/>
      <c r="B579" s="9"/>
      <c r="C579" s="20">
        <f>IF($B579="","",IFERROR(INDEX(Parc!$B$2:$B$301,MATCH($B579,Parc!$A$2:$A$301,0)),"Réf. inconnue"))</f>
      </c>
      <c r="D579" s="9"/>
      <c r="E579" s="9"/>
      <c r="F579" s="9"/>
      <c r="G579" s="9"/>
      <c r="H579" s="9"/>
      <c r="I579" s="24"/>
      <c r="J579" s="9"/>
      <c r="K579" s="9"/>
      <c r="L579" s="20">
        <f>IF(AND(ISNUMBER($A579),$B579&lt;&gt;"",$D579&lt;&gt;"Examen partiel (ne relance pas)"),IF($A579&lt;=TODAY(),$A579,0),0)</f>
      </c>
      <c r="M579" s="20">
        <f>IF($L579=0,"",$B579&amp;"|"&amp;$L579)</f>
      </c>
    </row>
    <row r="580" spans="1:13" x14ac:dyDescent="0.25">
      <c r="A580" s="24"/>
      <c r="B580" s="9"/>
      <c r="C580" s="20">
        <f>IF($B580="","",IFERROR(INDEX(Parc!$B$2:$B$301,MATCH($B580,Parc!$A$2:$A$301,0)),"Réf. inconnue"))</f>
      </c>
      <c r="D580" s="9"/>
      <c r="E580" s="9"/>
      <c r="F580" s="9"/>
      <c r="G580" s="9"/>
      <c r="H580" s="9"/>
      <c r="I580" s="24"/>
      <c r="J580" s="9"/>
      <c r="K580" s="9"/>
      <c r="L580" s="20">
        <f>IF(AND(ISNUMBER($A580),$B580&lt;&gt;"",$D580&lt;&gt;"Examen partiel (ne relance pas)"),IF($A580&lt;=TODAY(),$A580,0),0)</f>
      </c>
      <c r="M580" s="20">
        <f>IF($L580=0,"",$B580&amp;"|"&amp;$L580)</f>
      </c>
    </row>
    <row r="581" spans="1:13" x14ac:dyDescent="0.25">
      <c r="A581" s="24"/>
      <c r="B581" s="9"/>
      <c r="C581" s="20">
        <f>IF($B581="","",IFERROR(INDEX(Parc!$B$2:$B$301,MATCH($B581,Parc!$A$2:$A$301,0)),"Réf. inconnue"))</f>
      </c>
      <c r="D581" s="9"/>
      <c r="E581" s="9"/>
      <c r="F581" s="9"/>
      <c r="G581" s="9"/>
      <c r="H581" s="9"/>
      <c r="I581" s="24"/>
      <c r="J581" s="9"/>
      <c r="K581" s="9"/>
      <c r="L581" s="20">
        <f>IF(AND(ISNUMBER($A581),$B581&lt;&gt;"",$D581&lt;&gt;"Examen partiel (ne relance pas)"),IF($A581&lt;=TODAY(),$A581,0),0)</f>
      </c>
      <c r="M581" s="20">
        <f>IF($L581=0,"",$B581&amp;"|"&amp;$L581)</f>
      </c>
    </row>
    <row r="582" spans="1:13" x14ac:dyDescent="0.25">
      <c r="A582" s="24"/>
      <c r="B582" s="9"/>
      <c r="C582" s="20">
        <f>IF($B582="","",IFERROR(INDEX(Parc!$B$2:$B$301,MATCH($B582,Parc!$A$2:$A$301,0)),"Réf. inconnue"))</f>
      </c>
      <c r="D582" s="9"/>
      <c r="E582" s="9"/>
      <c r="F582" s="9"/>
      <c r="G582" s="9"/>
      <c r="H582" s="9"/>
      <c r="I582" s="24"/>
      <c r="J582" s="9"/>
      <c r="K582" s="9"/>
      <c r="L582" s="20">
        <f>IF(AND(ISNUMBER($A582),$B582&lt;&gt;"",$D582&lt;&gt;"Examen partiel (ne relance pas)"),IF($A582&lt;=TODAY(),$A582,0),0)</f>
      </c>
      <c r="M582" s="20">
        <f>IF($L582=0,"",$B582&amp;"|"&amp;$L582)</f>
      </c>
    </row>
    <row r="583" spans="1:13" x14ac:dyDescent="0.25">
      <c r="A583" s="24"/>
      <c r="B583" s="9"/>
      <c r="C583" s="20">
        <f>IF($B583="","",IFERROR(INDEX(Parc!$B$2:$B$301,MATCH($B583,Parc!$A$2:$A$301,0)),"Réf. inconnue"))</f>
      </c>
      <c r="D583" s="9"/>
      <c r="E583" s="9"/>
      <c r="F583" s="9"/>
      <c r="G583" s="9"/>
      <c r="H583" s="9"/>
      <c r="I583" s="24"/>
      <c r="J583" s="9"/>
      <c r="K583" s="9"/>
      <c r="L583" s="20">
        <f>IF(AND(ISNUMBER($A583),$B583&lt;&gt;"",$D583&lt;&gt;"Examen partiel (ne relance pas)"),IF($A583&lt;=TODAY(),$A583,0),0)</f>
      </c>
      <c r="M583" s="20">
        <f>IF($L583=0,"",$B583&amp;"|"&amp;$L583)</f>
      </c>
    </row>
    <row r="584" spans="1:13" x14ac:dyDescent="0.25">
      <c r="A584" s="24"/>
      <c r="B584" s="9"/>
      <c r="C584" s="20">
        <f>IF($B584="","",IFERROR(INDEX(Parc!$B$2:$B$301,MATCH($B584,Parc!$A$2:$A$301,0)),"Réf. inconnue"))</f>
      </c>
      <c r="D584" s="9"/>
      <c r="E584" s="9"/>
      <c r="F584" s="9"/>
      <c r="G584" s="9"/>
      <c r="H584" s="9"/>
      <c r="I584" s="24"/>
      <c r="J584" s="9"/>
      <c r="K584" s="9"/>
      <c r="L584" s="20">
        <f>IF(AND(ISNUMBER($A584),$B584&lt;&gt;"",$D584&lt;&gt;"Examen partiel (ne relance pas)"),IF($A584&lt;=TODAY(),$A584,0),0)</f>
      </c>
      <c r="M584" s="20">
        <f>IF($L584=0,"",$B584&amp;"|"&amp;$L584)</f>
      </c>
    </row>
    <row r="585" spans="1:13" x14ac:dyDescent="0.25">
      <c r="A585" s="24"/>
      <c r="B585" s="9"/>
      <c r="C585" s="20">
        <f>IF($B585="","",IFERROR(INDEX(Parc!$B$2:$B$301,MATCH($B585,Parc!$A$2:$A$301,0)),"Réf. inconnue"))</f>
      </c>
      <c r="D585" s="9"/>
      <c r="E585" s="9"/>
      <c r="F585" s="9"/>
      <c r="G585" s="9"/>
      <c r="H585" s="9"/>
      <c r="I585" s="24"/>
      <c r="J585" s="9"/>
      <c r="K585" s="9"/>
      <c r="L585" s="20">
        <f>IF(AND(ISNUMBER($A585),$B585&lt;&gt;"",$D585&lt;&gt;"Examen partiel (ne relance pas)"),IF($A585&lt;=TODAY(),$A585,0),0)</f>
      </c>
      <c r="M585" s="20">
        <f>IF($L585=0,"",$B585&amp;"|"&amp;$L585)</f>
      </c>
    </row>
    <row r="586" spans="1:13" x14ac:dyDescent="0.25">
      <c r="A586" s="24"/>
      <c r="B586" s="9"/>
      <c r="C586" s="20">
        <f>IF($B586="","",IFERROR(INDEX(Parc!$B$2:$B$301,MATCH($B586,Parc!$A$2:$A$301,0)),"Réf. inconnue"))</f>
      </c>
      <c r="D586" s="9"/>
      <c r="E586" s="9"/>
      <c r="F586" s="9"/>
      <c r="G586" s="9"/>
      <c r="H586" s="9"/>
      <c r="I586" s="24"/>
      <c r="J586" s="9"/>
      <c r="K586" s="9"/>
      <c r="L586" s="20">
        <f>IF(AND(ISNUMBER($A586),$B586&lt;&gt;"",$D586&lt;&gt;"Examen partiel (ne relance pas)"),IF($A586&lt;=TODAY(),$A586,0),0)</f>
      </c>
      <c r="M586" s="20">
        <f>IF($L586=0,"",$B586&amp;"|"&amp;$L586)</f>
      </c>
    </row>
    <row r="587" spans="1:13" x14ac:dyDescent="0.25">
      <c r="A587" s="24"/>
      <c r="B587" s="9"/>
      <c r="C587" s="20">
        <f>IF($B587="","",IFERROR(INDEX(Parc!$B$2:$B$301,MATCH($B587,Parc!$A$2:$A$301,0)),"Réf. inconnue"))</f>
      </c>
      <c r="D587" s="9"/>
      <c r="E587" s="9"/>
      <c r="F587" s="9"/>
      <c r="G587" s="9"/>
      <c r="H587" s="9"/>
      <c r="I587" s="24"/>
      <c r="J587" s="9"/>
      <c r="K587" s="9"/>
      <c r="L587" s="20">
        <f>IF(AND(ISNUMBER($A587),$B587&lt;&gt;"",$D587&lt;&gt;"Examen partiel (ne relance pas)"),IF($A587&lt;=TODAY(),$A587,0),0)</f>
      </c>
      <c r="M587" s="20">
        <f>IF($L587=0,"",$B587&amp;"|"&amp;$L587)</f>
      </c>
    </row>
    <row r="588" spans="1:13" x14ac:dyDescent="0.25">
      <c r="A588" s="24"/>
      <c r="B588" s="9"/>
      <c r="C588" s="20">
        <f>IF($B588="","",IFERROR(INDEX(Parc!$B$2:$B$301,MATCH($B588,Parc!$A$2:$A$301,0)),"Réf. inconnue"))</f>
      </c>
      <c r="D588" s="9"/>
      <c r="E588" s="9"/>
      <c r="F588" s="9"/>
      <c r="G588" s="9"/>
      <c r="H588" s="9"/>
      <c r="I588" s="24"/>
      <c r="J588" s="9"/>
      <c r="K588" s="9"/>
      <c r="L588" s="20">
        <f>IF(AND(ISNUMBER($A588),$B588&lt;&gt;"",$D588&lt;&gt;"Examen partiel (ne relance pas)"),IF($A588&lt;=TODAY(),$A588,0),0)</f>
      </c>
      <c r="M588" s="20">
        <f>IF($L588=0,"",$B588&amp;"|"&amp;$L588)</f>
      </c>
    </row>
    <row r="589" spans="1:13" x14ac:dyDescent="0.25">
      <c r="A589" s="24"/>
      <c r="B589" s="9"/>
      <c r="C589" s="20">
        <f>IF($B589="","",IFERROR(INDEX(Parc!$B$2:$B$301,MATCH($B589,Parc!$A$2:$A$301,0)),"Réf. inconnue"))</f>
      </c>
      <c r="D589" s="9"/>
      <c r="E589" s="9"/>
      <c r="F589" s="9"/>
      <c r="G589" s="9"/>
      <c r="H589" s="9"/>
      <c r="I589" s="24"/>
      <c r="J589" s="9"/>
      <c r="K589" s="9"/>
      <c r="L589" s="20">
        <f>IF(AND(ISNUMBER($A589),$B589&lt;&gt;"",$D589&lt;&gt;"Examen partiel (ne relance pas)"),IF($A589&lt;=TODAY(),$A589,0),0)</f>
      </c>
      <c r="M589" s="20">
        <f>IF($L589=0,"",$B589&amp;"|"&amp;$L589)</f>
      </c>
    </row>
    <row r="590" spans="1:13" x14ac:dyDescent="0.25">
      <c r="A590" s="24"/>
      <c r="B590" s="9"/>
      <c r="C590" s="20">
        <f>IF($B590="","",IFERROR(INDEX(Parc!$B$2:$B$301,MATCH($B590,Parc!$A$2:$A$301,0)),"Réf. inconnue"))</f>
      </c>
      <c r="D590" s="9"/>
      <c r="E590" s="9"/>
      <c r="F590" s="9"/>
      <c r="G590" s="9"/>
      <c r="H590" s="9"/>
      <c r="I590" s="24"/>
      <c r="J590" s="9"/>
      <c r="K590" s="9"/>
      <c r="L590" s="20">
        <f>IF(AND(ISNUMBER($A590),$B590&lt;&gt;"",$D590&lt;&gt;"Examen partiel (ne relance pas)"),IF($A590&lt;=TODAY(),$A590,0),0)</f>
      </c>
      <c r="M590" s="20">
        <f>IF($L590=0,"",$B590&amp;"|"&amp;$L590)</f>
      </c>
    </row>
    <row r="591" spans="1:13" x14ac:dyDescent="0.25">
      <c r="A591" s="24"/>
      <c r="B591" s="9"/>
      <c r="C591" s="20">
        <f>IF($B591="","",IFERROR(INDEX(Parc!$B$2:$B$301,MATCH($B591,Parc!$A$2:$A$301,0)),"Réf. inconnue"))</f>
      </c>
      <c r="D591" s="9"/>
      <c r="E591" s="9"/>
      <c r="F591" s="9"/>
      <c r="G591" s="9"/>
      <c r="H591" s="9"/>
      <c r="I591" s="24"/>
      <c r="J591" s="9"/>
      <c r="K591" s="9"/>
      <c r="L591" s="20">
        <f>IF(AND(ISNUMBER($A591),$B591&lt;&gt;"",$D591&lt;&gt;"Examen partiel (ne relance pas)"),IF($A591&lt;=TODAY(),$A591,0),0)</f>
      </c>
      <c r="M591" s="20">
        <f>IF($L591=0,"",$B591&amp;"|"&amp;$L591)</f>
      </c>
    </row>
    <row r="592" spans="1:13" x14ac:dyDescent="0.25">
      <c r="A592" s="24"/>
      <c r="B592" s="9"/>
      <c r="C592" s="20">
        <f>IF($B592="","",IFERROR(INDEX(Parc!$B$2:$B$301,MATCH($B592,Parc!$A$2:$A$301,0)),"Réf. inconnue"))</f>
      </c>
      <c r="D592" s="9"/>
      <c r="E592" s="9"/>
      <c r="F592" s="9"/>
      <c r="G592" s="9"/>
      <c r="H592" s="9"/>
      <c r="I592" s="24"/>
      <c r="J592" s="9"/>
      <c r="K592" s="9"/>
      <c r="L592" s="20">
        <f>IF(AND(ISNUMBER($A592),$B592&lt;&gt;"",$D592&lt;&gt;"Examen partiel (ne relance pas)"),IF($A592&lt;=TODAY(),$A592,0),0)</f>
      </c>
      <c r="M592" s="20">
        <f>IF($L592=0,"",$B592&amp;"|"&amp;$L592)</f>
      </c>
    </row>
    <row r="593" spans="1:13" x14ac:dyDescent="0.25">
      <c r="A593" s="24"/>
      <c r="B593" s="9"/>
      <c r="C593" s="20">
        <f>IF($B593="","",IFERROR(INDEX(Parc!$B$2:$B$301,MATCH($B593,Parc!$A$2:$A$301,0)),"Réf. inconnue"))</f>
      </c>
      <c r="D593" s="9"/>
      <c r="E593" s="9"/>
      <c r="F593" s="9"/>
      <c r="G593" s="9"/>
      <c r="H593" s="9"/>
      <c r="I593" s="24"/>
      <c r="J593" s="9"/>
      <c r="K593" s="9"/>
      <c r="L593" s="20">
        <f>IF(AND(ISNUMBER($A593),$B593&lt;&gt;"",$D593&lt;&gt;"Examen partiel (ne relance pas)"),IF($A593&lt;=TODAY(),$A593,0),0)</f>
      </c>
      <c r="M593" s="20">
        <f>IF($L593=0,"",$B593&amp;"|"&amp;$L593)</f>
      </c>
    </row>
    <row r="594" spans="1:13" x14ac:dyDescent="0.25">
      <c r="A594" s="24"/>
      <c r="B594" s="9"/>
      <c r="C594" s="20">
        <f>IF($B594="","",IFERROR(INDEX(Parc!$B$2:$B$301,MATCH($B594,Parc!$A$2:$A$301,0)),"Réf. inconnue"))</f>
      </c>
      <c r="D594" s="9"/>
      <c r="E594" s="9"/>
      <c r="F594" s="9"/>
      <c r="G594" s="9"/>
      <c r="H594" s="9"/>
      <c r="I594" s="24"/>
      <c r="J594" s="9"/>
      <c r="K594" s="9"/>
      <c r="L594" s="20">
        <f>IF(AND(ISNUMBER($A594),$B594&lt;&gt;"",$D594&lt;&gt;"Examen partiel (ne relance pas)"),IF($A594&lt;=TODAY(),$A594,0),0)</f>
      </c>
      <c r="M594" s="20">
        <f>IF($L594=0,"",$B594&amp;"|"&amp;$L594)</f>
      </c>
    </row>
    <row r="595" spans="1:13" x14ac:dyDescent="0.25">
      <c r="A595" s="24"/>
      <c r="B595" s="9"/>
      <c r="C595" s="20">
        <f>IF($B595="","",IFERROR(INDEX(Parc!$B$2:$B$301,MATCH($B595,Parc!$A$2:$A$301,0)),"Réf. inconnue"))</f>
      </c>
      <c r="D595" s="9"/>
      <c r="E595" s="9"/>
      <c r="F595" s="9"/>
      <c r="G595" s="9"/>
      <c r="H595" s="9"/>
      <c r="I595" s="24"/>
      <c r="J595" s="9"/>
      <c r="K595" s="9"/>
      <c r="L595" s="20">
        <f>IF(AND(ISNUMBER($A595),$B595&lt;&gt;"",$D595&lt;&gt;"Examen partiel (ne relance pas)"),IF($A595&lt;=TODAY(),$A595,0),0)</f>
      </c>
      <c r="M595" s="20">
        <f>IF($L595=0,"",$B595&amp;"|"&amp;$L595)</f>
      </c>
    </row>
    <row r="596" spans="1:13" x14ac:dyDescent="0.25">
      <c r="A596" s="24"/>
      <c r="B596" s="9"/>
      <c r="C596" s="20">
        <f>IF($B596="","",IFERROR(INDEX(Parc!$B$2:$B$301,MATCH($B596,Parc!$A$2:$A$301,0)),"Réf. inconnue"))</f>
      </c>
      <c r="D596" s="9"/>
      <c r="E596" s="9"/>
      <c r="F596" s="9"/>
      <c r="G596" s="9"/>
      <c r="H596" s="9"/>
      <c r="I596" s="24"/>
      <c r="J596" s="9"/>
      <c r="K596" s="9"/>
      <c r="L596" s="20">
        <f>IF(AND(ISNUMBER($A596),$B596&lt;&gt;"",$D596&lt;&gt;"Examen partiel (ne relance pas)"),IF($A596&lt;=TODAY(),$A596,0),0)</f>
      </c>
      <c r="M596" s="20">
        <f>IF($L596=0,"",$B596&amp;"|"&amp;$L596)</f>
      </c>
    </row>
    <row r="597" spans="1:13" x14ac:dyDescent="0.25">
      <c r="A597" s="24"/>
      <c r="B597" s="9"/>
      <c r="C597" s="20">
        <f>IF($B597="","",IFERROR(INDEX(Parc!$B$2:$B$301,MATCH($B597,Parc!$A$2:$A$301,0)),"Réf. inconnue"))</f>
      </c>
      <c r="D597" s="9"/>
      <c r="E597" s="9"/>
      <c r="F597" s="9"/>
      <c r="G597" s="9"/>
      <c r="H597" s="9"/>
      <c r="I597" s="24"/>
      <c r="J597" s="9"/>
      <c r="K597" s="9"/>
      <c r="L597" s="20">
        <f>IF(AND(ISNUMBER($A597),$B597&lt;&gt;"",$D597&lt;&gt;"Examen partiel (ne relance pas)"),IF($A597&lt;=TODAY(),$A597,0),0)</f>
      </c>
      <c r="M597" s="20">
        <f>IF($L597=0,"",$B597&amp;"|"&amp;$L597)</f>
      </c>
    </row>
    <row r="598" spans="1:13" x14ac:dyDescent="0.25">
      <c r="A598" s="24"/>
      <c r="B598" s="9"/>
      <c r="C598" s="20">
        <f>IF($B598="","",IFERROR(INDEX(Parc!$B$2:$B$301,MATCH($B598,Parc!$A$2:$A$301,0)),"Réf. inconnue"))</f>
      </c>
      <c r="D598" s="9"/>
      <c r="E598" s="9"/>
      <c r="F598" s="9"/>
      <c r="G598" s="9"/>
      <c r="H598" s="9"/>
      <c r="I598" s="24"/>
      <c r="J598" s="9"/>
      <c r="K598" s="9"/>
      <c r="L598" s="20">
        <f>IF(AND(ISNUMBER($A598),$B598&lt;&gt;"",$D598&lt;&gt;"Examen partiel (ne relance pas)"),IF($A598&lt;=TODAY(),$A598,0),0)</f>
      </c>
      <c r="M598" s="20">
        <f>IF($L598=0,"",$B598&amp;"|"&amp;$L598)</f>
      </c>
    </row>
    <row r="599" spans="1:13" x14ac:dyDescent="0.25">
      <c r="A599" s="24"/>
      <c r="B599" s="9"/>
      <c r="C599" s="20">
        <f>IF($B599="","",IFERROR(INDEX(Parc!$B$2:$B$301,MATCH($B599,Parc!$A$2:$A$301,0)),"Réf. inconnue"))</f>
      </c>
      <c r="D599" s="9"/>
      <c r="E599" s="9"/>
      <c r="F599" s="9"/>
      <c r="G599" s="9"/>
      <c r="H599" s="9"/>
      <c r="I599" s="24"/>
      <c r="J599" s="9"/>
      <c r="K599" s="9"/>
      <c r="L599" s="20">
        <f>IF(AND(ISNUMBER($A599),$B599&lt;&gt;"",$D599&lt;&gt;"Examen partiel (ne relance pas)"),IF($A599&lt;=TODAY(),$A599,0),0)</f>
      </c>
      <c r="M599" s="20">
        <f>IF($L599=0,"",$B599&amp;"|"&amp;$L599)</f>
      </c>
    </row>
    <row r="600" spans="1:13" x14ac:dyDescent="0.25">
      <c r="A600" s="24"/>
      <c r="B600" s="9"/>
      <c r="C600" s="20">
        <f>IF($B600="","",IFERROR(INDEX(Parc!$B$2:$B$301,MATCH($B600,Parc!$A$2:$A$301,0)),"Réf. inconnue"))</f>
      </c>
      <c r="D600" s="9"/>
      <c r="E600" s="9"/>
      <c r="F600" s="9"/>
      <c r="G600" s="9"/>
      <c r="H600" s="9"/>
      <c r="I600" s="24"/>
      <c r="J600" s="9"/>
      <c r="K600" s="9"/>
      <c r="L600" s="20">
        <f>IF(AND(ISNUMBER($A600),$B600&lt;&gt;"",$D600&lt;&gt;"Examen partiel (ne relance pas)"),IF($A600&lt;=TODAY(),$A600,0),0)</f>
      </c>
      <c r="M600" s="20">
        <f>IF($L600=0,"",$B600&amp;"|"&amp;$L600)</f>
      </c>
    </row>
    <row r="601" spans="1:13" x14ac:dyDescent="0.25">
      <c r="A601" s="24"/>
      <c r="B601" s="9"/>
      <c r="C601" s="20">
        <f>IF($B601="","",IFERROR(INDEX(Parc!$B$2:$B$301,MATCH($B601,Parc!$A$2:$A$301,0)),"Réf. inconnue"))</f>
      </c>
      <c r="D601" s="9"/>
      <c r="E601" s="9"/>
      <c r="F601" s="9"/>
      <c r="G601" s="9"/>
      <c r="H601" s="9"/>
      <c r="I601" s="24"/>
      <c r="J601" s="9"/>
      <c r="K601" s="9"/>
      <c r="L601" s="20">
        <f>IF(AND(ISNUMBER($A601),$B601&lt;&gt;"",$D601&lt;&gt;"Examen partiel (ne relance pas)"),IF($A601&lt;=TODAY(),$A601,0),0)</f>
      </c>
      <c r="M601" s="20">
        <f>IF($L601=0,"",$B601&amp;"|"&amp;$L601)</f>
      </c>
    </row>
    <row r="602" spans="1:13" x14ac:dyDescent="0.25">
      <c r="A602" s="24"/>
      <c r="B602" s="9"/>
      <c r="C602" s="20">
        <f>IF($B602="","",IFERROR(INDEX(Parc!$B$2:$B$301,MATCH($B602,Parc!$A$2:$A$301,0)),"Réf. inconnue"))</f>
      </c>
      <c r="D602" s="9"/>
      <c r="E602" s="9"/>
      <c r="F602" s="9"/>
      <c r="G602" s="9"/>
      <c r="H602" s="9"/>
      <c r="I602" s="24"/>
      <c r="J602" s="9"/>
      <c r="K602" s="9"/>
      <c r="L602" s="20">
        <f>IF(AND(ISNUMBER($A602),$B602&lt;&gt;"",$D602&lt;&gt;"Examen partiel (ne relance pas)"),IF($A602&lt;=TODAY(),$A602,0),0)</f>
      </c>
      <c r="M602" s="20">
        <f>IF($L602=0,"",$B602&amp;"|"&amp;$L602)</f>
      </c>
    </row>
    <row r="603" spans="1:13" x14ac:dyDescent="0.25">
      <c r="A603" s="24"/>
      <c r="B603" s="9"/>
      <c r="C603" s="20">
        <f>IF($B603="","",IFERROR(INDEX(Parc!$B$2:$B$301,MATCH($B603,Parc!$A$2:$A$301,0)),"Réf. inconnue"))</f>
      </c>
      <c r="D603" s="9"/>
      <c r="E603" s="9"/>
      <c r="F603" s="9"/>
      <c r="G603" s="9"/>
      <c r="H603" s="9"/>
      <c r="I603" s="24"/>
      <c r="J603" s="9"/>
      <c r="K603" s="9"/>
      <c r="L603" s="20">
        <f>IF(AND(ISNUMBER($A603),$B603&lt;&gt;"",$D603&lt;&gt;"Examen partiel (ne relance pas)"),IF($A603&lt;=TODAY(),$A603,0),0)</f>
      </c>
      <c r="M603" s="20">
        <f>IF($L603=0,"",$B603&amp;"|"&amp;$L603)</f>
      </c>
    </row>
    <row r="604" spans="1:13" x14ac:dyDescent="0.25">
      <c r="A604" s="24"/>
      <c r="B604" s="9"/>
      <c r="C604" s="20">
        <f>IF($B604="","",IFERROR(INDEX(Parc!$B$2:$B$301,MATCH($B604,Parc!$A$2:$A$301,0)),"Réf. inconnue"))</f>
      </c>
      <c r="D604" s="9"/>
      <c r="E604" s="9"/>
      <c r="F604" s="9"/>
      <c r="G604" s="9"/>
      <c r="H604" s="9"/>
      <c r="I604" s="24"/>
      <c r="J604" s="9"/>
      <c r="K604" s="9"/>
      <c r="L604" s="20">
        <f>IF(AND(ISNUMBER($A604),$B604&lt;&gt;"",$D604&lt;&gt;"Examen partiel (ne relance pas)"),IF($A604&lt;=TODAY(),$A604,0),0)</f>
      </c>
      <c r="M604" s="20">
        <f>IF($L604=0,"",$B604&amp;"|"&amp;$L604)</f>
      </c>
    </row>
    <row r="605" spans="1:13" x14ac:dyDescent="0.25">
      <c r="A605" s="24"/>
      <c r="B605" s="9"/>
      <c r="C605" s="20">
        <f>IF($B605="","",IFERROR(INDEX(Parc!$B$2:$B$301,MATCH($B605,Parc!$A$2:$A$301,0)),"Réf. inconnue"))</f>
      </c>
      <c r="D605" s="9"/>
      <c r="E605" s="9"/>
      <c r="F605" s="9"/>
      <c r="G605" s="9"/>
      <c r="H605" s="9"/>
      <c r="I605" s="24"/>
      <c r="J605" s="9"/>
      <c r="K605" s="9"/>
      <c r="L605" s="20">
        <f>IF(AND(ISNUMBER($A605),$B605&lt;&gt;"",$D605&lt;&gt;"Examen partiel (ne relance pas)"),IF($A605&lt;=TODAY(),$A605,0),0)</f>
      </c>
      <c r="M605" s="20">
        <f>IF($L605=0,"",$B605&amp;"|"&amp;$L605)</f>
      </c>
    </row>
    <row r="606" spans="1:13" x14ac:dyDescent="0.25">
      <c r="A606" s="24"/>
      <c r="B606" s="9"/>
      <c r="C606" s="20">
        <f>IF($B606="","",IFERROR(INDEX(Parc!$B$2:$B$301,MATCH($B606,Parc!$A$2:$A$301,0)),"Réf. inconnue"))</f>
      </c>
      <c r="D606" s="9"/>
      <c r="E606" s="9"/>
      <c r="F606" s="9"/>
      <c r="G606" s="9"/>
      <c r="H606" s="9"/>
      <c r="I606" s="24"/>
      <c r="J606" s="9"/>
      <c r="K606" s="9"/>
      <c r="L606" s="20">
        <f>IF(AND(ISNUMBER($A606),$B606&lt;&gt;"",$D606&lt;&gt;"Examen partiel (ne relance pas)"),IF($A606&lt;=TODAY(),$A606,0),0)</f>
      </c>
      <c r="M606" s="20">
        <f>IF($L606=0,"",$B606&amp;"|"&amp;$L606)</f>
      </c>
    </row>
    <row r="607" spans="1:13" x14ac:dyDescent="0.25">
      <c r="A607" s="24"/>
      <c r="B607" s="9"/>
      <c r="C607" s="20">
        <f>IF($B607="","",IFERROR(INDEX(Parc!$B$2:$B$301,MATCH($B607,Parc!$A$2:$A$301,0)),"Réf. inconnue"))</f>
      </c>
      <c r="D607" s="9"/>
      <c r="E607" s="9"/>
      <c r="F607" s="9"/>
      <c r="G607" s="9"/>
      <c r="H607" s="9"/>
      <c r="I607" s="24"/>
      <c r="J607" s="9"/>
      <c r="K607" s="9"/>
      <c r="L607" s="20">
        <f>IF(AND(ISNUMBER($A607),$B607&lt;&gt;"",$D607&lt;&gt;"Examen partiel (ne relance pas)"),IF($A607&lt;=TODAY(),$A607,0),0)</f>
      </c>
      <c r="M607" s="20">
        <f>IF($L607=0,"",$B607&amp;"|"&amp;$L607)</f>
      </c>
    </row>
    <row r="608" spans="1:13" x14ac:dyDescent="0.25">
      <c r="A608" s="24"/>
      <c r="B608" s="9"/>
      <c r="C608" s="20">
        <f>IF($B608="","",IFERROR(INDEX(Parc!$B$2:$B$301,MATCH($B608,Parc!$A$2:$A$301,0)),"Réf. inconnue"))</f>
      </c>
      <c r="D608" s="9"/>
      <c r="E608" s="9"/>
      <c r="F608" s="9"/>
      <c r="G608" s="9"/>
      <c r="H608" s="9"/>
      <c r="I608" s="24"/>
      <c r="J608" s="9"/>
      <c r="K608" s="9"/>
      <c r="L608" s="20">
        <f>IF(AND(ISNUMBER($A608),$B608&lt;&gt;"",$D608&lt;&gt;"Examen partiel (ne relance pas)"),IF($A608&lt;=TODAY(),$A608,0),0)</f>
      </c>
      <c r="M608" s="20">
        <f>IF($L608=0,"",$B608&amp;"|"&amp;$L608)</f>
      </c>
    </row>
    <row r="609" spans="1:13" x14ac:dyDescent="0.25">
      <c r="A609" s="24"/>
      <c r="B609" s="9"/>
      <c r="C609" s="20">
        <f>IF($B609="","",IFERROR(INDEX(Parc!$B$2:$B$301,MATCH($B609,Parc!$A$2:$A$301,0)),"Réf. inconnue"))</f>
      </c>
      <c r="D609" s="9"/>
      <c r="E609" s="9"/>
      <c r="F609" s="9"/>
      <c r="G609" s="9"/>
      <c r="H609" s="9"/>
      <c r="I609" s="24"/>
      <c r="J609" s="9"/>
      <c r="K609" s="9"/>
      <c r="L609" s="20">
        <f>IF(AND(ISNUMBER($A609),$B609&lt;&gt;"",$D609&lt;&gt;"Examen partiel (ne relance pas)"),IF($A609&lt;=TODAY(),$A609,0),0)</f>
      </c>
      <c r="M609" s="20">
        <f>IF($L609=0,"",$B609&amp;"|"&amp;$L609)</f>
      </c>
    </row>
    <row r="610" spans="1:13" x14ac:dyDescent="0.25">
      <c r="A610" s="24"/>
      <c r="B610" s="9"/>
      <c r="C610" s="20">
        <f>IF($B610="","",IFERROR(INDEX(Parc!$B$2:$B$301,MATCH($B610,Parc!$A$2:$A$301,0)),"Réf. inconnue"))</f>
      </c>
      <c r="D610" s="9"/>
      <c r="E610" s="9"/>
      <c r="F610" s="9"/>
      <c r="G610" s="9"/>
      <c r="H610" s="9"/>
      <c r="I610" s="24"/>
      <c r="J610" s="9"/>
      <c r="K610" s="9"/>
      <c r="L610" s="20">
        <f>IF(AND(ISNUMBER($A610),$B610&lt;&gt;"",$D610&lt;&gt;"Examen partiel (ne relance pas)"),IF($A610&lt;=TODAY(),$A610,0),0)</f>
      </c>
      <c r="M610" s="20">
        <f>IF($L610=0,"",$B610&amp;"|"&amp;$L610)</f>
      </c>
    </row>
    <row r="611" spans="1:13" x14ac:dyDescent="0.25">
      <c r="A611" s="24"/>
      <c r="B611" s="9"/>
      <c r="C611" s="20">
        <f>IF($B611="","",IFERROR(INDEX(Parc!$B$2:$B$301,MATCH($B611,Parc!$A$2:$A$301,0)),"Réf. inconnue"))</f>
      </c>
      <c r="D611" s="9"/>
      <c r="E611" s="9"/>
      <c r="F611" s="9"/>
      <c r="G611" s="9"/>
      <c r="H611" s="9"/>
      <c r="I611" s="24"/>
      <c r="J611" s="9"/>
      <c r="K611" s="9"/>
      <c r="L611" s="20">
        <f>IF(AND(ISNUMBER($A611),$B611&lt;&gt;"",$D611&lt;&gt;"Examen partiel (ne relance pas)"),IF($A611&lt;=TODAY(),$A611,0),0)</f>
      </c>
      <c r="M611" s="20">
        <f>IF($L611=0,"",$B611&amp;"|"&amp;$L611)</f>
      </c>
    </row>
    <row r="612" spans="1:13" x14ac:dyDescent="0.25">
      <c r="A612" s="24"/>
      <c r="B612" s="9"/>
      <c r="C612" s="20">
        <f>IF($B612="","",IFERROR(INDEX(Parc!$B$2:$B$301,MATCH($B612,Parc!$A$2:$A$301,0)),"Réf. inconnue"))</f>
      </c>
      <c r="D612" s="9"/>
      <c r="E612" s="9"/>
      <c r="F612" s="9"/>
      <c r="G612" s="9"/>
      <c r="H612" s="9"/>
      <c r="I612" s="24"/>
      <c r="J612" s="9"/>
      <c r="K612" s="9"/>
      <c r="L612" s="20">
        <f>IF(AND(ISNUMBER($A612),$B612&lt;&gt;"",$D612&lt;&gt;"Examen partiel (ne relance pas)"),IF($A612&lt;=TODAY(),$A612,0),0)</f>
      </c>
      <c r="M612" s="20">
        <f>IF($L612=0,"",$B612&amp;"|"&amp;$L612)</f>
      </c>
    </row>
    <row r="613" spans="1:13" x14ac:dyDescent="0.25">
      <c r="A613" s="24"/>
      <c r="B613" s="9"/>
      <c r="C613" s="20">
        <f>IF($B613="","",IFERROR(INDEX(Parc!$B$2:$B$301,MATCH($B613,Parc!$A$2:$A$301,0)),"Réf. inconnue"))</f>
      </c>
      <c r="D613" s="9"/>
      <c r="E613" s="9"/>
      <c r="F613" s="9"/>
      <c r="G613" s="9"/>
      <c r="H613" s="9"/>
      <c r="I613" s="24"/>
      <c r="J613" s="9"/>
      <c r="K613" s="9"/>
      <c r="L613" s="20">
        <f>IF(AND(ISNUMBER($A613),$B613&lt;&gt;"",$D613&lt;&gt;"Examen partiel (ne relance pas)"),IF($A613&lt;=TODAY(),$A613,0),0)</f>
      </c>
      <c r="M613" s="20">
        <f>IF($L613=0,"",$B613&amp;"|"&amp;$L613)</f>
      </c>
    </row>
    <row r="614" spans="1:13" x14ac:dyDescent="0.25">
      <c r="A614" s="24"/>
      <c r="B614" s="9"/>
      <c r="C614" s="20">
        <f>IF($B614="","",IFERROR(INDEX(Parc!$B$2:$B$301,MATCH($B614,Parc!$A$2:$A$301,0)),"Réf. inconnue"))</f>
      </c>
      <c r="D614" s="9"/>
      <c r="E614" s="9"/>
      <c r="F614" s="9"/>
      <c r="G614" s="9"/>
      <c r="H614" s="9"/>
      <c r="I614" s="24"/>
      <c r="J614" s="9"/>
      <c r="K614" s="9"/>
      <c r="L614" s="20">
        <f>IF(AND(ISNUMBER($A614),$B614&lt;&gt;"",$D614&lt;&gt;"Examen partiel (ne relance pas)"),IF($A614&lt;=TODAY(),$A614,0),0)</f>
      </c>
      <c r="M614" s="20">
        <f>IF($L614=0,"",$B614&amp;"|"&amp;$L614)</f>
      </c>
    </row>
    <row r="615" spans="1:13" x14ac:dyDescent="0.25">
      <c r="A615" s="24"/>
      <c r="B615" s="9"/>
      <c r="C615" s="20">
        <f>IF($B615="","",IFERROR(INDEX(Parc!$B$2:$B$301,MATCH($B615,Parc!$A$2:$A$301,0)),"Réf. inconnue"))</f>
      </c>
      <c r="D615" s="9"/>
      <c r="E615" s="9"/>
      <c r="F615" s="9"/>
      <c r="G615" s="9"/>
      <c r="H615" s="9"/>
      <c r="I615" s="24"/>
      <c r="J615" s="9"/>
      <c r="K615" s="9"/>
      <c r="L615" s="20">
        <f>IF(AND(ISNUMBER($A615),$B615&lt;&gt;"",$D615&lt;&gt;"Examen partiel (ne relance pas)"),IF($A615&lt;=TODAY(),$A615,0),0)</f>
      </c>
      <c r="M615" s="20">
        <f>IF($L615=0,"",$B615&amp;"|"&amp;$L615)</f>
      </c>
    </row>
    <row r="616" spans="1:13" x14ac:dyDescent="0.25">
      <c r="A616" s="24"/>
      <c r="B616" s="9"/>
      <c r="C616" s="20">
        <f>IF($B616="","",IFERROR(INDEX(Parc!$B$2:$B$301,MATCH($B616,Parc!$A$2:$A$301,0)),"Réf. inconnue"))</f>
      </c>
      <c r="D616" s="9"/>
      <c r="E616" s="9"/>
      <c r="F616" s="9"/>
      <c r="G616" s="9"/>
      <c r="H616" s="9"/>
      <c r="I616" s="24"/>
      <c r="J616" s="9"/>
      <c r="K616" s="9"/>
      <c r="L616" s="20">
        <f>IF(AND(ISNUMBER($A616),$B616&lt;&gt;"",$D616&lt;&gt;"Examen partiel (ne relance pas)"),IF($A616&lt;=TODAY(),$A616,0),0)</f>
      </c>
      <c r="M616" s="20">
        <f>IF($L616=0,"",$B616&amp;"|"&amp;$L616)</f>
      </c>
    </row>
    <row r="617" spans="1:13" x14ac:dyDescent="0.25">
      <c r="A617" s="24"/>
      <c r="B617" s="9"/>
      <c r="C617" s="20">
        <f>IF($B617="","",IFERROR(INDEX(Parc!$B$2:$B$301,MATCH($B617,Parc!$A$2:$A$301,0)),"Réf. inconnue"))</f>
      </c>
      <c r="D617" s="9"/>
      <c r="E617" s="9"/>
      <c r="F617" s="9"/>
      <c r="G617" s="9"/>
      <c r="H617" s="9"/>
      <c r="I617" s="24"/>
      <c r="J617" s="9"/>
      <c r="K617" s="9"/>
      <c r="L617" s="20">
        <f>IF(AND(ISNUMBER($A617),$B617&lt;&gt;"",$D617&lt;&gt;"Examen partiel (ne relance pas)"),IF($A617&lt;=TODAY(),$A617,0),0)</f>
      </c>
      <c r="M617" s="20">
        <f>IF($L617=0,"",$B617&amp;"|"&amp;$L617)</f>
      </c>
    </row>
    <row r="618" spans="1:13" x14ac:dyDescent="0.25">
      <c r="A618" s="24"/>
      <c r="B618" s="9"/>
      <c r="C618" s="20">
        <f>IF($B618="","",IFERROR(INDEX(Parc!$B$2:$B$301,MATCH($B618,Parc!$A$2:$A$301,0)),"Réf. inconnue"))</f>
      </c>
      <c r="D618" s="9"/>
      <c r="E618" s="9"/>
      <c r="F618" s="9"/>
      <c r="G618" s="9"/>
      <c r="H618" s="9"/>
      <c r="I618" s="24"/>
      <c r="J618" s="9"/>
      <c r="K618" s="9"/>
      <c r="L618" s="20">
        <f>IF(AND(ISNUMBER($A618),$B618&lt;&gt;"",$D618&lt;&gt;"Examen partiel (ne relance pas)"),IF($A618&lt;=TODAY(),$A618,0),0)</f>
      </c>
      <c r="M618" s="20">
        <f>IF($L618=0,"",$B618&amp;"|"&amp;$L618)</f>
      </c>
    </row>
    <row r="619" spans="1:13" x14ac:dyDescent="0.25">
      <c r="A619" s="24"/>
      <c r="B619" s="9"/>
      <c r="C619" s="20">
        <f>IF($B619="","",IFERROR(INDEX(Parc!$B$2:$B$301,MATCH($B619,Parc!$A$2:$A$301,0)),"Réf. inconnue"))</f>
      </c>
      <c r="D619" s="9"/>
      <c r="E619" s="9"/>
      <c r="F619" s="9"/>
      <c r="G619" s="9"/>
      <c r="H619" s="9"/>
      <c r="I619" s="24"/>
      <c r="J619" s="9"/>
      <c r="K619" s="9"/>
      <c r="L619" s="20">
        <f>IF(AND(ISNUMBER($A619),$B619&lt;&gt;"",$D619&lt;&gt;"Examen partiel (ne relance pas)"),IF($A619&lt;=TODAY(),$A619,0),0)</f>
      </c>
      <c r="M619" s="20">
        <f>IF($L619=0,"",$B619&amp;"|"&amp;$L619)</f>
      </c>
    </row>
    <row r="620" spans="1:13" x14ac:dyDescent="0.25">
      <c r="A620" s="24"/>
      <c r="B620" s="9"/>
      <c r="C620" s="20">
        <f>IF($B620="","",IFERROR(INDEX(Parc!$B$2:$B$301,MATCH($B620,Parc!$A$2:$A$301,0)),"Réf. inconnue"))</f>
      </c>
      <c r="D620" s="9"/>
      <c r="E620" s="9"/>
      <c r="F620" s="9"/>
      <c r="G620" s="9"/>
      <c r="H620" s="9"/>
      <c r="I620" s="24"/>
      <c r="J620" s="9"/>
      <c r="K620" s="9"/>
      <c r="L620" s="20">
        <f>IF(AND(ISNUMBER($A620),$B620&lt;&gt;"",$D620&lt;&gt;"Examen partiel (ne relance pas)"),IF($A620&lt;=TODAY(),$A620,0),0)</f>
      </c>
      <c r="M620" s="20">
        <f>IF($L620=0,"",$B620&amp;"|"&amp;$L620)</f>
      </c>
    </row>
    <row r="621" spans="1:13" x14ac:dyDescent="0.25">
      <c r="A621" s="24"/>
      <c r="B621" s="9"/>
      <c r="C621" s="20">
        <f>IF($B621="","",IFERROR(INDEX(Parc!$B$2:$B$301,MATCH($B621,Parc!$A$2:$A$301,0)),"Réf. inconnue"))</f>
      </c>
      <c r="D621" s="9"/>
      <c r="E621" s="9"/>
      <c r="F621" s="9"/>
      <c r="G621" s="9"/>
      <c r="H621" s="9"/>
      <c r="I621" s="24"/>
      <c r="J621" s="9"/>
      <c r="K621" s="9"/>
      <c r="L621" s="20">
        <f>IF(AND(ISNUMBER($A621),$B621&lt;&gt;"",$D621&lt;&gt;"Examen partiel (ne relance pas)"),IF($A621&lt;=TODAY(),$A621,0),0)</f>
      </c>
      <c r="M621" s="20">
        <f>IF($L621=0,"",$B621&amp;"|"&amp;$L621)</f>
      </c>
    </row>
    <row r="622" spans="1:13" x14ac:dyDescent="0.25">
      <c r="A622" s="24"/>
      <c r="B622" s="9"/>
      <c r="C622" s="20">
        <f>IF($B622="","",IFERROR(INDEX(Parc!$B$2:$B$301,MATCH($B622,Parc!$A$2:$A$301,0)),"Réf. inconnue"))</f>
      </c>
      <c r="D622" s="9"/>
      <c r="E622" s="9"/>
      <c r="F622" s="9"/>
      <c r="G622" s="9"/>
      <c r="H622" s="9"/>
      <c r="I622" s="24"/>
      <c r="J622" s="9"/>
      <c r="K622" s="9"/>
      <c r="L622" s="20">
        <f>IF(AND(ISNUMBER($A622),$B622&lt;&gt;"",$D622&lt;&gt;"Examen partiel (ne relance pas)"),IF($A622&lt;=TODAY(),$A622,0),0)</f>
      </c>
      <c r="M622" s="20">
        <f>IF($L622=0,"",$B622&amp;"|"&amp;$L622)</f>
      </c>
    </row>
    <row r="623" spans="1:13" x14ac:dyDescent="0.25">
      <c r="A623" s="24"/>
      <c r="B623" s="9"/>
      <c r="C623" s="20">
        <f>IF($B623="","",IFERROR(INDEX(Parc!$B$2:$B$301,MATCH($B623,Parc!$A$2:$A$301,0)),"Réf. inconnue"))</f>
      </c>
      <c r="D623" s="9"/>
      <c r="E623" s="9"/>
      <c r="F623" s="9"/>
      <c r="G623" s="9"/>
      <c r="H623" s="9"/>
      <c r="I623" s="24"/>
      <c r="J623" s="9"/>
      <c r="K623" s="9"/>
      <c r="L623" s="20">
        <f>IF(AND(ISNUMBER($A623),$B623&lt;&gt;"",$D623&lt;&gt;"Examen partiel (ne relance pas)"),IF($A623&lt;=TODAY(),$A623,0),0)</f>
      </c>
      <c r="M623" s="20">
        <f>IF($L623=0,"",$B623&amp;"|"&amp;$L623)</f>
      </c>
    </row>
    <row r="624" spans="1:13" x14ac:dyDescent="0.25">
      <c r="A624" s="24"/>
      <c r="B624" s="9"/>
      <c r="C624" s="20">
        <f>IF($B624="","",IFERROR(INDEX(Parc!$B$2:$B$301,MATCH($B624,Parc!$A$2:$A$301,0)),"Réf. inconnue"))</f>
      </c>
      <c r="D624" s="9"/>
      <c r="E624" s="9"/>
      <c r="F624" s="9"/>
      <c r="G624" s="9"/>
      <c r="H624" s="9"/>
      <c r="I624" s="24"/>
      <c r="J624" s="9"/>
      <c r="K624" s="9"/>
      <c r="L624" s="20">
        <f>IF(AND(ISNUMBER($A624),$B624&lt;&gt;"",$D624&lt;&gt;"Examen partiel (ne relance pas)"),IF($A624&lt;=TODAY(),$A624,0),0)</f>
      </c>
      <c r="M624" s="20">
        <f>IF($L624=0,"",$B624&amp;"|"&amp;$L624)</f>
      </c>
    </row>
    <row r="625" spans="1:13" x14ac:dyDescent="0.25">
      <c r="A625" s="24"/>
      <c r="B625" s="9"/>
      <c r="C625" s="20">
        <f>IF($B625="","",IFERROR(INDEX(Parc!$B$2:$B$301,MATCH($B625,Parc!$A$2:$A$301,0)),"Réf. inconnue"))</f>
      </c>
      <c r="D625" s="9"/>
      <c r="E625" s="9"/>
      <c r="F625" s="9"/>
      <c r="G625" s="9"/>
      <c r="H625" s="9"/>
      <c r="I625" s="24"/>
      <c r="J625" s="9"/>
      <c r="K625" s="9"/>
      <c r="L625" s="20">
        <f>IF(AND(ISNUMBER($A625),$B625&lt;&gt;"",$D625&lt;&gt;"Examen partiel (ne relance pas)"),IF($A625&lt;=TODAY(),$A625,0),0)</f>
      </c>
      <c r="M625" s="20">
        <f>IF($L625=0,"",$B625&amp;"|"&amp;$L625)</f>
      </c>
    </row>
    <row r="626" spans="1:13" x14ac:dyDescent="0.25">
      <c r="A626" s="24"/>
      <c r="B626" s="9"/>
      <c r="C626" s="20">
        <f>IF($B626="","",IFERROR(INDEX(Parc!$B$2:$B$301,MATCH($B626,Parc!$A$2:$A$301,0)),"Réf. inconnue"))</f>
      </c>
      <c r="D626" s="9"/>
      <c r="E626" s="9"/>
      <c r="F626" s="9"/>
      <c r="G626" s="9"/>
      <c r="H626" s="9"/>
      <c r="I626" s="24"/>
      <c r="J626" s="9"/>
      <c r="K626" s="9"/>
      <c r="L626" s="20">
        <f>IF(AND(ISNUMBER($A626),$B626&lt;&gt;"",$D626&lt;&gt;"Examen partiel (ne relance pas)"),IF($A626&lt;=TODAY(),$A626,0),0)</f>
      </c>
      <c r="M626" s="20">
        <f>IF($L626=0,"",$B626&amp;"|"&amp;$L626)</f>
      </c>
    </row>
    <row r="627" spans="1:13" x14ac:dyDescent="0.25">
      <c r="A627" s="24"/>
      <c r="B627" s="9"/>
      <c r="C627" s="20">
        <f>IF($B627="","",IFERROR(INDEX(Parc!$B$2:$B$301,MATCH($B627,Parc!$A$2:$A$301,0)),"Réf. inconnue"))</f>
      </c>
      <c r="D627" s="9"/>
      <c r="E627" s="9"/>
      <c r="F627" s="9"/>
      <c r="G627" s="9"/>
      <c r="H627" s="9"/>
      <c r="I627" s="24"/>
      <c r="J627" s="9"/>
      <c r="K627" s="9"/>
      <c r="L627" s="20">
        <f>IF(AND(ISNUMBER($A627),$B627&lt;&gt;"",$D627&lt;&gt;"Examen partiel (ne relance pas)"),IF($A627&lt;=TODAY(),$A627,0),0)</f>
      </c>
      <c r="M627" s="20">
        <f>IF($L627=0,"",$B627&amp;"|"&amp;$L627)</f>
      </c>
    </row>
    <row r="628" spans="1:13" x14ac:dyDescent="0.25">
      <c r="A628" s="24"/>
      <c r="B628" s="9"/>
      <c r="C628" s="20">
        <f>IF($B628="","",IFERROR(INDEX(Parc!$B$2:$B$301,MATCH($B628,Parc!$A$2:$A$301,0)),"Réf. inconnue"))</f>
      </c>
      <c r="D628" s="9"/>
      <c r="E628" s="9"/>
      <c r="F628" s="9"/>
      <c r="G628" s="9"/>
      <c r="H628" s="9"/>
      <c r="I628" s="24"/>
      <c r="J628" s="9"/>
      <c r="K628" s="9"/>
      <c r="L628" s="20">
        <f>IF(AND(ISNUMBER($A628),$B628&lt;&gt;"",$D628&lt;&gt;"Examen partiel (ne relance pas)"),IF($A628&lt;=TODAY(),$A628,0),0)</f>
      </c>
      <c r="M628" s="20">
        <f>IF($L628=0,"",$B628&amp;"|"&amp;$L628)</f>
      </c>
    </row>
    <row r="629" spans="1:13" x14ac:dyDescent="0.25">
      <c r="A629" s="24"/>
      <c r="B629" s="9"/>
      <c r="C629" s="20">
        <f>IF($B629="","",IFERROR(INDEX(Parc!$B$2:$B$301,MATCH($B629,Parc!$A$2:$A$301,0)),"Réf. inconnue"))</f>
      </c>
      <c r="D629" s="9"/>
      <c r="E629" s="9"/>
      <c r="F629" s="9"/>
      <c r="G629" s="9"/>
      <c r="H629" s="9"/>
      <c r="I629" s="24"/>
      <c r="J629" s="9"/>
      <c r="K629" s="9"/>
      <c r="L629" s="20">
        <f>IF(AND(ISNUMBER($A629),$B629&lt;&gt;"",$D629&lt;&gt;"Examen partiel (ne relance pas)"),IF($A629&lt;=TODAY(),$A629,0),0)</f>
      </c>
      <c r="M629" s="20">
        <f>IF($L629=0,"",$B629&amp;"|"&amp;$L629)</f>
      </c>
    </row>
    <row r="630" spans="1:13" x14ac:dyDescent="0.25">
      <c r="A630" s="24"/>
      <c r="B630" s="9"/>
      <c r="C630" s="20">
        <f>IF($B630="","",IFERROR(INDEX(Parc!$B$2:$B$301,MATCH($B630,Parc!$A$2:$A$301,0)),"Réf. inconnue"))</f>
      </c>
      <c r="D630" s="9"/>
      <c r="E630" s="9"/>
      <c r="F630" s="9"/>
      <c r="G630" s="9"/>
      <c r="H630" s="9"/>
      <c r="I630" s="24"/>
      <c r="J630" s="9"/>
      <c r="K630" s="9"/>
      <c r="L630" s="20">
        <f>IF(AND(ISNUMBER($A630),$B630&lt;&gt;"",$D630&lt;&gt;"Examen partiel (ne relance pas)"),IF($A630&lt;=TODAY(),$A630,0),0)</f>
      </c>
      <c r="M630" s="20">
        <f>IF($L630=0,"",$B630&amp;"|"&amp;$L630)</f>
      </c>
    </row>
    <row r="631" spans="1:13" x14ac:dyDescent="0.25">
      <c r="A631" s="24"/>
      <c r="B631" s="9"/>
      <c r="C631" s="20">
        <f>IF($B631="","",IFERROR(INDEX(Parc!$B$2:$B$301,MATCH($B631,Parc!$A$2:$A$301,0)),"Réf. inconnue"))</f>
      </c>
      <c r="D631" s="9"/>
      <c r="E631" s="9"/>
      <c r="F631" s="9"/>
      <c r="G631" s="9"/>
      <c r="H631" s="9"/>
      <c r="I631" s="24"/>
      <c r="J631" s="9"/>
      <c r="K631" s="9"/>
      <c r="L631" s="20">
        <f>IF(AND(ISNUMBER($A631),$B631&lt;&gt;"",$D631&lt;&gt;"Examen partiel (ne relance pas)"),IF($A631&lt;=TODAY(),$A631,0),0)</f>
      </c>
      <c r="M631" s="20">
        <f>IF($L631=0,"",$B631&amp;"|"&amp;$L631)</f>
      </c>
    </row>
    <row r="632" spans="1:13" x14ac:dyDescent="0.25">
      <c r="A632" s="24"/>
      <c r="B632" s="9"/>
      <c r="C632" s="20">
        <f>IF($B632="","",IFERROR(INDEX(Parc!$B$2:$B$301,MATCH($B632,Parc!$A$2:$A$301,0)),"Réf. inconnue"))</f>
      </c>
      <c r="D632" s="9"/>
      <c r="E632" s="9"/>
      <c r="F632" s="9"/>
      <c r="G632" s="9"/>
      <c r="H632" s="9"/>
      <c r="I632" s="24"/>
      <c r="J632" s="9"/>
      <c r="K632" s="9"/>
      <c r="L632" s="20">
        <f>IF(AND(ISNUMBER($A632),$B632&lt;&gt;"",$D632&lt;&gt;"Examen partiel (ne relance pas)"),IF($A632&lt;=TODAY(),$A632,0),0)</f>
      </c>
      <c r="M632" s="20">
        <f>IF($L632=0,"",$B632&amp;"|"&amp;$L632)</f>
      </c>
    </row>
    <row r="633" spans="1:13" x14ac:dyDescent="0.25">
      <c r="A633" s="24"/>
      <c r="B633" s="9"/>
      <c r="C633" s="20">
        <f>IF($B633="","",IFERROR(INDEX(Parc!$B$2:$B$301,MATCH($B633,Parc!$A$2:$A$301,0)),"Réf. inconnue"))</f>
      </c>
      <c r="D633" s="9"/>
      <c r="E633" s="9"/>
      <c r="F633" s="9"/>
      <c r="G633" s="9"/>
      <c r="H633" s="9"/>
      <c r="I633" s="24"/>
      <c r="J633" s="9"/>
      <c r="K633" s="9"/>
      <c r="L633" s="20">
        <f>IF(AND(ISNUMBER($A633),$B633&lt;&gt;"",$D633&lt;&gt;"Examen partiel (ne relance pas)"),IF($A633&lt;=TODAY(),$A633,0),0)</f>
      </c>
      <c r="M633" s="20">
        <f>IF($L633=0,"",$B633&amp;"|"&amp;$L633)</f>
      </c>
    </row>
    <row r="634" spans="1:13" x14ac:dyDescent="0.25">
      <c r="A634" s="24"/>
      <c r="B634" s="9"/>
      <c r="C634" s="20">
        <f>IF($B634="","",IFERROR(INDEX(Parc!$B$2:$B$301,MATCH($B634,Parc!$A$2:$A$301,0)),"Réf. inconnue"))</f>
      </c>
      <c r="D634" s="9"/>
      <c r="E634" s="9"/>
      <c r="F634" s="9"/>
      <c r="G634" s="9"/>
      <c r="H634" s="9"/>
      <c r="I634" s="24"/>
      <c r="J634" s="9"/>
      <c r="K634" s="9"/>
      <c r="L634" s="20">
        <f>IF(AND(ISNUMBER($A634),$B634&lt;&gt;"",$D634&lt;&gt;"Examen partiel (ne relance pas)"),IF($A634&lt;=TODAY(),$A634,0),0)</f>
      </c>
      <c r="M634" s="20">
        <f>IF($L634=0,"",$B634&amp;"|"&amp;$L634)</f>
      </c>
    </row>
    <row r="635" spans="1:13" x14ac:dyDescent="0.25">
      <c r="A635" s="24"/>
      <c r="B635" s="9"/>
      <c r="C635" s="20">
        <f>IF($B635="","",IFERROR(INDEX(Parc!$B$2:$B$301,MATCH($B635,Parc!$A$2:$A$301,0)),"Réf. inconnue"))</f>
      </c>
      <c r="D635" s="9"/>
      <c r="E635" s="9"/>
      <c r="F635" s="9"/>
      <c r="G635" s="9"/>
      <c r="H635" s="9"/>
      <c r="I635" s="24"/>
      <c r="J635" s="9"/>
      <c r="K635" s="9"/>
      <c r="L635" s="20">
        <f>IF(AND(ISNUMBER($A635),$B635&lt;&gt;"",$D635&lt;&gt;"Examen partiel (ne relance pas)"),IF($A635&lt;=TODAY(),$A635,0),0)</f>
      </c>
      <c r="M635" s="20">
        <f>IF($L635=0,"",$B635&amp;"|"&amp;$L635)</f>
      </c>
    </row>
    <row r="636" spans="1:13" x14ac:dyDescent="0.25">
      <c r="A636" s="24"/>
      <c r="B636" s="9"/>
      <c r="C636" s="20">
        <f>IF($B636="","",IFERROR(INDEX(Parc!$B$2:$B$301,MATCH($B636,Parc!$A$2:$A$301,0)),"Réf. inconnue"))</f>
      </c>
      <c r="D636" s="9"/>
      <c r="E636" s="9"/>
      <c r="F636" s="9"/>
      <c r="G636" s="9"/>
      <c r="H636" s="9"/>
      <c r="I636" s="24"/>
      <c r="J636" s="9"/>
      <c r="K636" s="9"/>
      <c r="L636" s="20">
        <f>IF(AND(ISNUMBER($A636),$B636&lt;&gt;"",$D636&lt;&gt;"Examen partiel (ne relance pas)"),IF($A636&lt;=TODAY(),$A636,0),0)</f>
      </c>
      <c r="M636" s="20">
        <f>IF($L636=0,"",$B636&amp;"|"&amp;$L636)</f>
      </c>
    </row>
    <row r="637" spans="1:13" x14ac:dyDescent="0.25">
      <c r="A637" s="24"/>
      <c r="B637" s="9"/>
      <c r="C637" s="20">
        <f>IF($B637="","",IFERROR(INDEX(Parc!$B$2:$B$301,MATCH($B637,Parc!$A$2:$A$301,0)),"Réf. inconnue"))</f>
      </c>
      <c r="D637" s="9"/>
      <c r="E637" s="9"/>
      <c r="F637" s="9"/>
      <c r="G637" s="9"/>
      <c r="H637" s="9"/>
      <c r="I637" s="24"/>
      <c r="J637" s="9"/>
      <c r="K637" s="9"/>
      <c r="L637" s="20">
        <f>IF(AND(ISNUMBER($A637),$B637&lt;&gt;"",$D637&lt;&gt;"Examen partiel (ne relance pas)"),IF($A637&lt;=TODAY(),$A637,0),0)</f>
      </c>
      <c r="M637" s="20">
        <f>IF($L637=0,"",$B637&amp;"|"&amp;$L637)</f>
      </c>
    </row>
    <row r="638" spans="1:13" x14ac:dyDescent="0.25">
      <c r="A638" s="24"/>
      <c r="B638" s="9"/>
      <c r="C638" s="20">
        <f>IF($B638="","",IFERROR(INDEX(Parc!$B$2:$B$301,MATCH($B638,Parc!$A$2:$A$301,0)),"Réf. inconnue"))</f>
      </c>
      <c r="D638" s="9"/>
      <c r="E638" s="9"/>
      <c r="F638" s="9"/>
      <c r="G638" s="9"/>
      <c r="H638" s="9"/>
      <c r="I638" s="24"/>
      <c r="J638" s="9"/>
      <c r="K638" s="9"/>
      <c r="L638" s="20">
        <f>IF(AND(ISNUMBER($A638),$B638&lt;&gt;"",$D638&lt;&gt;"Examen partiel (ne relance pas)"),IF($A638&lt;=TODAY(),$A638,0),0)</f>
      </c>
      <c r="M638" s="20">
        <f>IF($L638=0,"",$B638&amp;"|"&amp;$L638)</f>
      </c>
    </row>
    <row r="639" spans="1:13" x14ac:dyDescent="0.25">
      <c r="A639" s="24"/>
      <c r="B639" s="9"/>
      <c r="C639" s="20">
        <f>IF($B639="","",IFERROR(INDEX(Parc!$B$2:$B$301,MATCH($B639,Parc!$A$2:$A$301,0)),"Réf. inconnue"))</f>
      </c>
      <c r="D639" s="9"/>
      <c r="E639" s="9"/>
      <c r="F639" s="9"/>
      <c r="G639" s="9"/>
      <c r="H639" s="9"/>
      <c r="I639" s="24"/>
      <c r="J639" s="9"/>
      <c r="K639" s="9"/>
      <c r="L639" s="20">
        <f>IF(AND(ISNUMBER($A639),$B639&lt;&gt;"",$D639&lt;&gt;"Examen partiel (ne relance pas)"),IF($A639&lt;=TODAY(),$A639,0),0)</f>
      </c>
      <c r="M639" s="20">
        <f>IF($L639=0,"",$B639&amp;"|"&amp;$L639)</f>
      </c>
    </row>
    <row r="640" spans="1:13" x14ac:dyDescent="0.25">
      <c r="A640" s="24"/>
      <c r="B640" s="9"/>
      <c r="C640" s="20">
        <f>IF($B640="","",IFERROR(INDEX(Parc!$B$2:$B$301,MATCH($B640,Parc!$A$2:$A$301,0)),"Réf. inconnue"))</f>
      </c>
      <c r="D640" s="9"/>
      <c r="E640" s="9"/>
      <c r="F640" s="9"/>
      <c r="G640" s="9"/>
      <c r="H640" s="9"/>
      <c r="I640" s="24"/>
      <c r="J640" s="9"/>
      <c r="K640" s="9"/>
      <c r="L640" s="20">
        <f>IF(AND(ISNUMBER($A640),$B640&lt;&gt;"",$D640&lt;&gt;"Examen partiel (ne relance pas)"),IF($A640&lt;=TODAY(),$A640,0),0)</f>
      </c>
      <c r="M640" s="20">
        <f>IF($L640=0,"",$B640&amp;"|"&amp;$L640)</f>
      </c>
    </row>
    <row r="641" spans="1:13" x14ac:dyDescent="0.25">
      <c r="A641" s="24"/>
      <c r="B641" s="9"/>
      <c r="C641" s="20">
        <f>IF($B641="","",IFERROR(INDEX(Parc!$B$2:$B$301,MATCH($B641,Parc!$A$2:$A$301,0)),"Réf. inconnue"))</f>
      </c>
      <c r="D641" s="9"/>
      <c r="E641" s="9"/>
      <c r="F641" s="9"/>
      <c r="G641" s="9"/>
      <c r="H641" s="9"/>
      <c r="I641" s="24"/>
      <c r="J641" s="9"/>
      <c r="K641" s="9"/>
      <c r="L641" s="20">
        <f>IF(AND(ISNUMBER($A641),$B641&lt;&gt;"",$D641&lt;&gt;"Examen partiel (ne relance pas)"),IF($A641&lt;=TODAY(),$A641,0),0)</f>
      </c>
      <c r="M641" s="20">
        <f>IF($L641=0,"",$B641&amp;"|"&amp;$L641)</f>
      </c>
    </row>
    <row r="642" spans="1:13" x14ac:dyDescent="0.25">
      <c r="A642" s="24"/>
      <c r="B642" s="9"/>
      <c r="C642" s="20">
        <f>IF($B642="","",IFERROR(INDEX(Parc!$B$2:$B$301,MATCH($B642,Parc!$A$2:$A$301,0)),"Réf. inconnue"))</f>
      </c>
      <c r="D642" s="9"/>
      <c r="E642" s="9"/>
      <c r="F642" s="9"/>
      <c r="G642" s="9"/>
      <c r="H642" s="9"/>
      <c r="I642" s="24"/>
      <c r="J642" s="9"/>
      <c r="K642" s="9"/>
      <c r="L642" s="20">
        <f>IF(AND(ISNUMBER($A642),$B642&lt;&gt;"",$D642&lt;&gt;"Examen partiel (ne relance pas)"),IF($A642&lt;=TODAY(),$A642,0),0)</f>
      </c>
      <c r="M642" s="20">
        <f>IF($L642=0,"",$B642&amp;"|"&amp;$L642)</f>
      </c>
    </row>
    <row r="643" spans="1:13" x14ac:dyDescent="0.25">
      <c r="A643" s="24"/>
      <c r="B643" s="9"/>
      <c r="C643" s="20">
        <f>IF($B643="","",IFERROR(INDEX(Parc!$B$2:$B$301,MATCH($B643,Parc!$A$2:$A$301,0)),"Réf. inconnue"))</f>
      </c>
      <c r="D643" s="9"/>
      <c r="E643" s="9"/>
      <c r="F643" s="9"/>
      <c r="G643" s="9"/>
      <c r="H643" s="9"/>
      <c r="I643" s="24"/>
      <c r="J643" s="9"/>
      <c r="K643" s="9"/>
      <c r="L643" s="20">
        <f>IF(AND(ISNUMBER($A643),$B643&lt;&gt;"",$D643&lt;&gt;"Examen partiel (ne relance pas)"),IF($A643&lt;=TODAY(),$A643,0),0)</f>
      </c>
      <c r="M643" s="20">
        <f>IF($L643=0,"",$B643&amp;"|"&amp;$L643)</f>
      </c>
    </row>
    <row r="644" spans="1:13" x14ac:dyDescent="0.25">
      <c r="A644" s="24"/>
      <c r="B644" s="9"/>
      <c r="C644" s="20">
        <f>IF($B644="","",IFERROR(INDEX(Parc!$B$2:$B$301,MATCH($B644,Parc!$A$2:$A$301,0)),"Réf. inconnue"))</f>
      </c>
      <c r="D644" s="9"/>
      <c r="E644" s="9"/>
      <c r="F644" s="9"/>
      <c r="G644" s="9"/>
      <c r="H644" s="9"/>
      <c r="I644" s="24"/>
      <c r="J644" s="9"/>
      <c r="K644" s="9"/>
      <c r="L644" s="20">
        <f>IF(AND(ISNUMBER($A644),$B644&lt;&gt;"",$D644&lt;&gt;"Examen partiel (ne relance pas)"),IF($A644&lt;=TODAY(),$A644,0),0)</f>
      </c>
      <c r="M644" s="20">
        <f>IF($L644=0,"",$B644&amp;"|"&amp;$L644)</f>
      </c>
    </row>
    <row r="645" spans="1:13" x14ac:dyDescent="0.25">
      <c r="A645" s="24"/>
      <c r="B645" s="9"/>
      <c r="C645" s="20">
        <f>IF($B645="","",IFERROR(INDEX(Parc!$B$2:$B$301,MATCH($B645,Parc!$A$2:$A$301,0)),"Réf. inconnue"))</f>
      </c>
      <c r="D645" s="9"/>
      <c r="E645" s="9"/>
      <c r="F645" s="9"/>
      <c r="G645" s="9"/>
      <c r="H645" s="9"/>
      <c r="I645" s="24"/>
      <c r="J645" s="9"/>
      <c r="K645" s="9"/>
      <c r="L645" s="20">
        <f>IF(AND(ISNUMBER($A645),$B645&lt;&gt;"",$D645&lt;&gt;"Examen partiel (ne relance pas)"),IF($A645&lt;=TODAY(),$A645,0),0)</f>
      </c>
      <c r="M645" s="20">
        <f>IF($L645=0,"",$B645&amp;"|"&amp;$L645)</f>
      </c>
    </row>
    <row r="646" spans="1:13" x14ac:dyDescent="0.25">
      <c r="A646" s="24"/>
      <c r="B646" s="9"/>
      <c r="C646" s="20">
        <f>IF($B646="","",IFERROR(INDEX(Parc!$B$2:$B$301,MATCH($B646,Parc!$A$2:$A$301,0)),"Réf. inconnue"))</f>
      </c>
      <c r="D646" s="9"/>
      <c r="E646" s="9"/>
      <c r="F646" s="9"/>
      <c r="G646" s="9"/>
      <c r="H646" s="9"/>
      <c r="I646" s="24"/>
      <c r="J646" s="9"/>
      <c r="K646" s="9"/>
      <c r="L646" s="20">
        <f>IF(AND(ISNUMBER($A646),$B646&lt;&gt;"",$D646&lt;&gt;"Examen partiel (ne relance pas)"),IF($A646&lt;=TODAY(),$A646,0),0)</f>
      </c>
      <c r="M646" s="20">
        <f>IF($L646=0,"",$B646&amp;"|"&amp;$L646)</f>
      </c>
    </row>
    <row r="647" spans="1:13" x14ac:dyDescent="0.25">
      <c r="A647" s="24"/>
      <c r="B647" s="9"/>
      <c r="C647" s="20">
        <f>IF($B647="","",IFERROR(INDEX(Parc!$B$2:$B$301,MATCH($B647,Parc!$A$2:$A$301,0)),"Réf. inconnue"))</f>
      </c>
      <c r="D647" s="9"/>
      <c r="E647" s="9"/>
      <c r="F647" s="9"/>
      <c r="G647" s="9"/>
      <c r="H647" s="9"/>
      <c r="I647" s="24"/>
      <c r="J647" s="9"/>
      <c r="K647" s="9"/>
      <c r="L647" s="20">
        <f>IF(AND(ISNUMBER($A647),$B647&lt;&gt;"",$D647&lt;&gt;"Examen partiel (ne relance pas)"),IF($A647&lt;=TODAY(),$A647,0),0)</f>
      </c>
      <c r="M647" s="20">
        <f>IF($L647=0,"",$B647&amp;"|"&amp;$L647)</f>
      </c>
    </row>
    <row r="648" spans="1:13" x14ac:dyDescent="0.25">
      <c r="A648" s="24"/>
      <c r="B648" s="9"/>
      <c r="C648" s="20">
        <f>IF($B648="","",IFERROR(INDEX(Parc!$B$2:$B$301,MATCH($B648,Parc!$A$2:$A$301,0)),"Réf. inconnue"))</f>
      </c>
      <c r="D648" s="9"/>
      <c r="E648" s="9"/>
      <c r="F648" s="9"/>
      <c r="G648" s="9"/>
      <c r="H648" s="9"/>
      <c r="I648" s="24"/>
      <c r="J648" s="9"/>
      <c r="K648" s="9"/>
      <c r="L648" s="20">
        <f>IF(AND(ISNUMBER($A648),$B648&lt;&gt;"",$D648&lt;&gt;"Examen partiel (ne relance pas)"),IF($A648&lt;=TODAY(),$A648,0),0)</f>
      </c>
      <c r="M648" s="20">
        <f>IF($L648=0,"",$B648&amp;"|"&amp;$L648)</f>
      </c>
    </row>
    <row r="649" spans="1:13" x14ac:dyDescent="0.25">
      <c r="A649" s="24"/>
      <c r="B649" s="9"/>
      <c r="C649" s="20">
        <f>IF($B649="","",IFERROR(INDEX(Parc!$B$2:$B$301,MATCH($B649,Parc!$A$2:$A$301,0)),"Réf. inconnue"))</f>
      </c>
      <c r="D649" s="9"/>
      <c r="E649" s="9"/>
      <c r="F649" s="9"/>
      <c r="G649" s="9"/>
      <c r="H649" s="9"/>
      <c r="I649" s="24"/>
      <c r="J649" s="9"/>
      <c r="K649" s="9"/>
      <c r="L649" s="20">
        <f>IF(AND(ISNUMBER($A649),$B649&lt;&gt;"",$D649&lt;&gt;"Examen partiel (ne relance pas)"),IF($A649&lt;=TODAY(),$A649,0),0)</f>
      </c>
      <c r="M649" s="20">
        <f>IF($L649=0,"",$B649&amp;"|"&amp;$L649)</f>
      </c>
    </row>
    <row r="650" spans="1:13" x14ac:dyDescent="0.25">
      <c r="A650" s="24"/>
      <c r="B650" s="9"/>
      <c r="C650" s="20">
        <f>IF($B650="","",IFERROR(INDEX(Parc!$B$2:$B$301,MATCH($B650,Parc!$A$2:$A$301,0)),"Réf. inconnue"))</f>
      </c>
      <c r="D650" s="9"/>
      <c r="E650" s="9"/>
      <c r="F650" s="9"/>
      <c r="G650" s="9"/>
      <c r="H650" s="9"/>
      <c r="I650" s="24"/>
      <c r="J650" s="9"/>
      <c r="K650" s="9"/>
      <c r="L650" s="20">
        <f>IF(AND(ISNUMBER($A650),$B650&lt;&gt;"",$D650&lt;&gt;"Examen partiel (ne relance pas)"),IF($A650&lt;=TODAY(),$A650,0),0)</f>
      </c>
      <c r="M650" s="20">
        <f>IF($L650=0,"",$B650&amp;"|"&amp;$L650)</f>
      </c>
    </row>
    <row r="651" spans="1:13" x14ac:dyDescent="0.25">
      <c r="A651" s="24"/>
      <c r="B651" s="9"/>
      <c r="C651" s="20">
        <f>IF($B651="","",IFERROR(INDEX(Parc!$B$2:$B$301,MATCH($B651,Parc!$A$2:$A$301,0)),"Réf. inconnue"))</f>
      </c>
      <c r="D651" s="9"/>
      <c r="E651" s="9"/>
      <c r="F651" s="9"/>
      <c r="G651" s="9"/>
      <c r="H651" s="9"/>
      <c r="I651" s="24"/>
      <c r="J651" s="9"/>
      <c r="K651" s="9"/>
      <c r="L651" s="20">
        <f>IF(AND(ISNUMBER($A651),$B651&lt;&gt;"",$D651&lt;&gt;"Examen partiel (ne relance pas)"),IF($A651&lt;=TODAY(),$A651,0),0)</f>
      </c>
      <c r="M651" s="20">
        <f>IF($L651=0,"",$B651&amp;"|"&amp;$L651)</f>
      </c>
    </row>
    <row r="652" spans="1:13" x14ac:dyDescent="0.25">
      <c r="A652" s="24"/>
      <c r="B652" s="9"/>
      <c r="C652" s="20">
        <f>IF($B652="","",IFERROR(INDEX(Parc!$B$2:$B$301,MATCH($B652,Parc!$A$2:$A$301,0)),"Réf. inconnue"))</f>
      </c>
      <c r="D652" s="9"/>
      <c r="E652" s="9"/>
      <c r="F652" s="9"/>
      <c r="G652" s="9"/>
      <c r="H652" s="9"/>
      <c r="I652" s="24"/>
      <c r="J652" s="9"/>
      <c r="K652" s="9"/>
      <c r="L652" s="20">
        <f>IF(AND(ISNUMBER($A652),$B652&lt;&gt;"",$D652&lt;&gt;"Examen partiel (ne relance pas)"),IF($A652&lt;=TODAY(),$A652,0),0)</f>
      </c>
      <c r="M652" s="20">
        <f>IF($L652=0,"",$B652&amp;"|"&amp;$L652)</f>
      </c>
    </row>
    <row r="653" spans="1:13" x14ac:dyDescent="0.25">
      <c r="A653" s="24"/>
      <c r="B653" s="9"/>
      <c r="C653" s="20">
        <f>IF($B653="","",IFERROR(INDEX(Parc!$B$2:$B$301,MATCH($B653,Parc!$A$2:$A$301,0)),"Réf. inconnue"))</f>
      </c>
      <c r="D653" s="9"/>
      <c r="E653" s="9"/>
      <c r="F653" s="9"/>
      <c r="G653" s="9"/>
      <c r="H653" s="9"/>
      <c r="I653" s="24"/>
      <c r="J653" s="9"/>
      <c r="K653" s="9"/>
      <c r="L653" s="20">
        <f>IF(AND(ISNUMBER($A653),$B653&lt;&gt;"",$D653&lt;&gt;"Examen partiel (ne relance pas)"),IF($A653&lt;=TODAY(),$A653,0),0)</f>
      </c>
      <c r="M653" s="20">
        <f>IF($L653=0,"",$B653&amp;"|"&amp;$L653)</f>
      </c>
    </row>
    <row r="654" spans="1:13" x14ac:dyDescent="0.25">
      <c r="A654" s="24"/>
      <c r="B654" s="9"/>
      <c r="C654" s="20">
        <f>IF($B654="","",IFERROR(INDEX(Parc!$B$2:$B$301,MATCH($B654,Parc!$A$2:$A$301,0)),"Réf. inconnue"))</f>
      </c>
      <c r="D654" s="9"/>
      <c r="E654" s="9"/>
      <c r="F654" s="9"/>
      <c r="G654" s="9"/>
      <c r="H654" s="9"/>
      <c r="I654" s="24"/>
      <c r="J654" s="9"/>
      <c r="K654" s="9"/>
      <c r="L654" s="20">
        <f>IF(AND(ISNUMBER($A654),$B654&lt;&gt;"",$D654&lt;&gt;"Examen partiel (ne relance pas)"),IF($A654&lt;=TODAY(),$A654,0),0)</f>
      </c>
      <c r="M654" s="20">
        <f>IF($L654=0,"",$B654&amp;"|"&amp;$L654)</f>
      </c>
    </row>
    <row r="655" spans="1:13" x14ac:dyDescent="0.25">
      <c r="A655" s="24"/>
      <c r="B655" s="9"/>
      <c r="C655" s="20">
        <f>IF($B655="","",IFERROR(INDEX(Parc!$B$2:$B$301,MATCH($B655,Parc!$A$2:$A$301,0)),"Réf. inconnue"))</f>
      </c>
      <c r="D655" s="9"/>
      <c r="E655" s="9"/>
      <c r="F655" s="9"/>
      <c r="G655" s="9"/>
      <c r="H655" s="9"/>
      <c r="I655" s="24"/>
      <c r="J655" s="9"/>
      <c r="K655" s="9"/>
      <c r="L655" s="20">
        <f>IF(AND(ISNUMBER($A655),$B655&lt;&gt;"",$D655&lt;&gt;"Examen partiel (ne relance pas)"),IF($A655&lt;=TODAY(),$A655,0),0)</f>
      </c>
      <c r="M655" s="20">
        <f>IF($L655=0,"",$B655&amp;"|"&amp;$L655)</f>
      </c>
    </row>
    <row r="656" spans="1:13" x14ac:dyDescent="0.25">
      <c r="A656" s="24"/>
      <c r="B656" s="9"/>
      <c r="C656" s="20">
        <f>IF($B656="","",IFERROR(INDEX(Parc!$B$2:$B$301,MATCH($B656,Parc!$A$2:$A$301,0)),"Réf. inconnue"))</f>
      </c>
      <c r="D656" s="9"/>
      <c r="E656" s="9"/>
      <c r="F656" s="9"/>
      <c r="G656" s="9"/>
      <c r="H656" s="9"/>
      <c r="I656" s="24"/>
      <c r="J656" s="9"/>
      <c r="K656" s="9"/>
      <c r="L656" s="20">
        <f>IF(AND(ISNUMBER($A656),$B656&lt;&gt;"",$D656&lt;&gt;"Examen partiel (ne relance pas)"),IF($A656&lt;=TODAY(),$A656,0),0)</f>
      </c>
      <c r="M656" s="20">
        <f>IF($L656=0,"",$B656&amp;"|"&amp;$L656)</f>
      </c>
    </row>
    <row r="657" spans="1:13" x14ac:dyDescent="0.25">
      <c r="A657" s="24"/>
      <c r="B657" s="9"/>
      <c r="C657" s="20">
        <f>IF($B657="","",IFERROR(INDEX(Parc!$B$2:$B$301,MATCH($B657,Parc!$A$2:$A$301,0)),"Réf. inconnue"))</f>
      </c>
      <c r="D657" s="9"/>
      <c r="E657" s="9"/>
      <c r="F657" s="9"/>
      <c r="G657" s="9"/>
      <c r="H657" s="9"/>
      <c r="I657" s="24"/>
      <c r="J657" s="9"/>
      <c r="K657" s="9"/>
      <c r="L657" s="20">
        <f>IF(AND(ISNUMBER($A657),$B657&lt;&gt;"",$D657&lt;&gt;"Examen partiel (ne relance pas)"),IF($A657&lt;=TODAY(),$A657,0),0)</f>
      </c>
      <c r="M657" s="20">
        <f>IF($L657=0,"",$B657&amp;"|"&amp;$L657)</f>
      </c>
    </row>
    <row r="658" spans="1:13" x14ac:dyDescent="0.25">
      <c r="A658" s="24"/>
      <c r="B658" s="9"/>
      <c r="C658" s="20">
        <f>IF($B658="","",IFERROR(INDEX(Parc!$B$2:$B$301,MATCH($B658,Parc!$A$2:$A$301,0)),"Réf. inconnue"))</f>
      </c>
      <c r="D658" s="9"/>
      <c r="E658" s="9"/>
      <c r="F658" s="9"/>
      <c r="G658" s="9"/>
      <c r="H658" s="9"/>
      <c r="I658" s="24"/>
      <c r="J658" s="9"/>
      <c r="K658" s="9"/>
      <c r="L658" s="20">
        <f>IF(AND(ISNUMBER($A658),$B658&lt;&gt;"",$D658&lt;&gt;"Examen partiel (ne relance pas)"),IF($A658&lt;=TODAY(),$A658,0),0)</f>
      </c>
      <c r="M658" s="20">
        <f>IF($L658=0,"",$B658&amp;"|"&amp;$L658)</f>
      </c>
    </row>
    <row r="659" spans="1:13" x14ac:dyDescent="0.25">
      <c r="A659" s="24"/>
      <c r="B659" s="9"/>
      <c r="C659" s="20">
        <f>IF($B659="","",IFERROR(INDEX(Parc!$B$2:$B$301,MATCH($B659,Parc!$A$2:$A$301,0)),"Réf. inconnue"))</f>
      </c>
      <c r="D659" s="9"/>
      <c r="E659" s="9"/>
      <c r="F659" s="9"/>
      <c r="G659" s="9"/>
      <c r="H659" s="9"/>
      <c r="I659" s="24"/>
      <c r="J659" s="9"/>
      <c r="K659" s="9"/>
      <c r="L659" s="20">
        <f>IF(AND(ISNUMBER($A659),$B659&lt;&gt;"",$D659&lt;&gt;"Examen partiel (ne relance pas)"),IF($A659&lt;=TODAY(),$A659,0),0)</f>
      </c>
      <c r="M659" s="20">
        <f>IF($L659=0,"",$B659&amp;"|"&amp;$L659)</f>
      </c>
    </row>
    <row r="660" spans="1:13" x14ac:dyDescent="0.25">
      <c r="A660" s="24"/>
      <c r="B660" s="9"/>
      <c r="C660" s="20">
        <f>IF($B660="","",IFERROR(INDEX(Parc!$B$2:$B$301,MATCH($B660,Parc!$A$2:$A$301,0)),"Réf. inconnue"))</f>
      </c>
      <c r="D660" s="9"/>
      <c r="E660" s="9"/>
      <c r="F660" s="9"/>
      <c r="G660" s="9"/>
      <c r="H660" s="9"/>
      <c r="I660" s="24"/>
      <c r="J660" s="9"/>
      <c r="K660" s="9"/>
      <c r="L660" s="20">
        <f>IF(AND(ISNUMBER($A660),$B660&lt;&gt;"",$D660&lt;&gt;"Examen partiel (ne relance pas)"),IF($A660&lt;=TODAY(),$A660,0),0)</f>
      </c>
      <c r="M660" s="20">
        <f>IF($L660=0,"",$B660&amp;"|"&amp;$L660)</f>
      </c>
    </row>
    <row r="661" spans="1:13" x14ac:dyDescent="0.25">
      <c r="A661" s="24"/>
      <c r="B661" s="9"/>
      <c r="C661" s="20">
        <f>IF($B661="","",IFERROR(INDEX(Parc!$B$2:$B$301,MATCH($B661,Parc!$A$2:$A$301,0)),"Réf. inconnue"))</f>
      </c>
      <c r="D661" s="9"/>
      <c r="E661" s="9"/>
      <c r="F661" s="9"/>
      <c r="G661" s="9"/>
      <c r="H661" s="9"/>
      <c r="I661" s="24"/>
      <c r="J661" s="9"/>
      <c r="K661" s="9"/>
      <c r="L661" s="20">
        <f>IF(AND(ISNUMBER($A661),$B661&lt;&gt;"",$D661&lt;&gt;"Examen partiel (ne relance pas)"),IF($A661&lt;=TODAY(),$A661,0),0)</f>
      </c>
      <c r="M661" s="20">
        <f>IF($L661=0,"",$B661&amp;"|"&amp;$L661)</f>
      </c>
    </row>
    <row r="662" spans="1:13" x14ac:dyDescent="0.25">
      <c r="A662" s="24"/>
      <c r="B662" s="9"/>
      <c r="C662" s="20">
        <f>IF($B662="","",IFERROR(INDEX(Parc!$B$2:$B$301,MATCH($B662,Parc!$A$2:$A$301,0)),"Réf. inconnue"))</f>
      </c>
      <c r="D662" s="9"/>
      <c r="E662" s="9"/>
      <c r="F662" s="9"/>
      <c r="G662" s="9"/>
      <c r="H662" s="9"/>
      <c r="I662" s="24"/>
      <c r="J662" s="9"/>
      <c r="K662" s="9"/>
      <c r="L662" s="20">
        <f>IF(AND(ISNUMBER($A662),$B662&lt;&gt;"",$D662&lt;&gt;"Examen partiel (ne relance pas)"),IF($A662&lt;=TODAY(),$A662,0),0)</f>
      </c>
      <c r="M662" s="20">
        <f>IF($L662=0,"",$B662&amp;"|"&amp;$L662)</f>
      </c>
    </row>
    <row r="663" spans="1:13" x14ac:dyDescent="0.25">
      <c r="A663" s="24"/>
      <c r="B663" s="9"/>
      <c r="C663" s="20">
        <f>IF($B663="","",IFERROR(INDEX(Parc!$B$2:$B$301,MATCH($B663,Parc!$A$2:$A$301,0)),"Réf. inconnue"))</f>
      </c>
      <c r="D663" s="9"/>
      <c r="E663" s="9"/>
      <c r="F663" s="9"/>
      <c r="G663" s="9"/>
      <c r="H663" s="9"/>
      <c r="I663" s="24"/>
      <c r="J663" s="9"/>
      <c r="K663" s="9"/>
      <c r="L663" s="20">
        <f>IF(AND(ISNUMBER($A663),$B663&lt;&gt;"",$D663&lt;&gt;"Examen partiel (ne relance pas)"),IF($A663&lt;=TODAY(),$A663,0),0)</f>
      </c>
      <c r="M663" s="20">
        <f>IF($L663=0,"",$B663&amp;"|"&amp;$L663)</f>
      </c>
    </row>
    <row r="664" spans="1:13" x14ac:dyDescent="0.25">
      <c r="A664" s="24"/>
      <c r="B664" s="9"/>
      <c r="C664" s="20">
        <f>IF($B664="","",IFERROR(INDEX(Parc!$B$2:$B$301,MATCH($B664,Parc!$A$2:$A$301,0)),"Réf. inconnue"))</f>
      </c>
      <c r="D664" s="9"/>
      <c r="E664" s="9"/>
      <c r="F664" s="9"/>
      <c r="G664" s="9"/>
      <c r="H664" s="9"/>
      <c r="I664" s="24"/>
      <c r="J664" s="9"/>
      <c r="K664" s="9"/>
      <c r="L664" s="20">
        <f>IF(AND(ISNUMBER($A664),$B664&lt;&gt;"",$D664&lt;&gt;"Examen partiel (ne relance pas)"),IF($A664&lt;=TODAY(),$A664,0),0)</f>
      </c>
      <c r="M664" s="20">
        <f>IF($L664=0,"",$B664&amp;"|"&amp;$L664)</f>
      </c>
    </row>
    <row r="665" spans="1:13" x14ac:dyDescent="0.25">
      <c r="A665" s="24"/>
      <c r="B665" s="9"/>
      <c r="C665" s="20">
        <f>IF($B665="","",IFERROR(INDEX(Parc!$B$2:$B$301,MATCH($B665,Parc!$A$2:$A$301,0)),"Réf. inconnue"))</f>
      </c>
      <c r="D665" s="9"/>
      <c r="E665" s="9"/>
      <c r="F665" s="9"/>
      <c r="G665" s="9"/>
      <c r="H665" s="9"/>
      <c r="I665" s="24"/>
      <c r="J665" s="9"/>
      <c r="K665" s="9"/>
      <c r="L665" s="20">
        <f>IF(AND(ISNUMBER($A665),$B665&lt;&gt;"",$D665&lt;&gt;"Examen partiel (ne relance pas)"),IF($A665&lt;=TODAY(),$A665,0),0)</f>
      </c>
      <c r="M665" s="20">
        <f>IF($L665=0,"",$B665&amp;"|"&amp;$L665)</f>
      </c>
    </row>
    <row r="666" spans="1:13" x14ac:dyDescent="0.25">
      <c r="A666" s="24"/>
      <c r="B666" s="9"/>
      <c r="C666" s="20">
        <f>IF($B666="","",IFERROR(INDEX(Parc!$B$2:$B$301,MATCH($B666,Parc!$A$2:$A$301,0)),"Réf. inconnue"))</f>
      </c>
      <c r="D666" s="9"/>
      <c r="E666" s="9"/>
      <c r="F666" s="9"/>
      <c r="G666" s="9"/>
      <c r="H666" s="9"/>
      <c r="I666" s="24"/>
      <c r="J666" s="9"/>
      <c r="K666" s="9"/>
      <c r="L666" s="20">
        <f>IF(AND(ISNUMBER($A666),$B666&lt;&gt;"",$D666&lt;&gt;"Examen partiel (ne relance pas)"),IF($A666&lt;=TODAY(),$A666,0),0)</f>
      </c>
      <c r="M666" s="20">
        <f>IF($L666=0,"",$B666&amp;"|"&amp;$L666)</f>
      </c>
    </row>
    <row r="667" spans="1:13" x14ac:dyDescent="0.25">
      <c r="A667" s="24"/>
      <c r="B667" s="9"/>
      <c r="C667" s="20">
        <f>IF($B667="","",IFERROR(INDEX(Parc!$B$2:$B$301,MATCH($B667,Parc!$A$2:$A$301,0)),"Réf. inconnue"))</f>
      </c>
      <c r="D667" s="9"/>
      <c r="E667" s="9"/>
      <c r="F667" s="9"/>
      <c r="G667" s="9"/>
      <c r="H667" s="9"/>
      <c r="I667" s="24"/>
      <c r="J667" s="9"/>
      <c r="K667" s="9"/>
      <c r="L667" s="20">
        <f>IF(AND(ISNUMBER($A667),$B667&lt;&gt;"",$D667&lt;&gt;"Examen partiel (ne relance pas)"),IF($A667&lt;=TODAY(),$A667,0),0)</f>
      </c>
      <c r="M667" s="20">
        <f>IF($L667=0,"",$B667&amp;"|"&amp;$L667)</f>
      </c>
    </row>
    <row r="668" spans="1:13" x14ac:dyDescent="0.25">
      <c r="A668" s="24"/>
      <c r="B668" s="9"/>
      <c r="C668" s="20">
        <f>IF($B668="","",IFERROR(INDEX(Parc!$B$2:$B$301,MATCH($B668,Parc!$A$2:$A$301,0)),"Réf. inconnue"))</f>
      </c>
      <c r="D668" s="9"/>
      <c r="E668" s="9"/>
      <c r="F668" s="9"/>
      <c r="G668" s="9"/>
      <c r="H668" s="9"/>
      <c r="I668" s="24"/>
      <c r="J668" s="9"/>
      <c r="K668" s="9"/>
      <c r="L668" s="20">
        <f>IF(AND(ISNUMBER($A668),$B668&lt;&gt;"",$D668&lt;&gt;"Examen partiel (ne relance pas)"),IF($A668&lt;=TODAY(),$A668,0),0)</f>
      </c>
      <c r="M668" s="20">
        <f>IF($L668=0,"",$B668&amp;"|"&amp;$L668)</f>
      </c>
    </row>
    <row r="669" spans="1:13" x14ac:dyDescent="0.25">
      <c r="A669" s="24"/>
      <c r="B669" s="9"/>
      <c r="C669" s="20">
        <f>IF($B669="","",IFERROR(INDEX(Parc!$B$2:$B$301,MATCH($B669,Parc!$A$2:$A$301,0)),"Réf. inconnue"))</f>
      </c>
      <c r="D669" s="9"/>
      <c r="E669" s="9"/>
      <c r="F669" s="9"/>
      <c r="G669" s="9"/>
      <c r="H669" s="9"/>
      <c r="I669" s="24"/>
      <c r="J669" s="9"/>
      <c r="K669" s="9"/>
      <c r="L669" s="20">
        <f>IF(AND(ISNUMBER($A669),$B669&lt;&gt;"",$D669&lt;&gt;"Examen partiel (ne relance pas)"),IF($A669&lt;=TODAY(),$A669,0),0)</f>
      </c>
      <c r="M669" s="20">
        <f>IF($L669=0,"",$B669&amp;"|"&amp;$L669)</f>
      </c>
    </row>
    <row r="670" spans="1:13" x14ac:dyDescent="0.25">
      <c r="A670" s="24"/>
      <c r="B670" s="9"/>
      <c r="C670" s="20">
        <f>IF($B670="","",IFERROR(INDEX(Parc!$B$2:$B$301,MATCH($B670,Parc!$A$2:$A$301,0)),"Réf. inconnue"))</f>
      </c>
      <c r="D670" s="9"/>
      <c r="E670" s="9"/>
      <c r="F670" s="9"/>
      <c r="G670" s="9"/>
      <c r="H670" s="9"/>
      <c r="I670" s="24"/>
      <c r="J670" s="9"/>
      <c r="K670" s="9"/>
      <c r="L670" s="20">
        <f>IF(AND(ISNUMBER($A670),$B670&lt;&gt;"",$D670&lt;&gt;"Examen partiel (ne relance pas)"),IF($A670&lt;=TODAY(),$A670,0),0)</f>
      </c>
      <c r="M670" s="20">
        <f>IF($L670=0,"",$B670&amp;"|"&amp;$L670)</f>
      </c>
    </row>
    <row r="671" spans="1:13" x14ac:dyDescent="0.25">
      <c r="A671" s="24"/>
      <c r="B671" s="9"/>
      <c r="C671" s="20">
        <f>IF($B671="","",IFERROR(INDEX(Parc!$B$2:$B$301,MATCH($B671,Parc!$A$2:$A$301,0)),"Réf. inconnue"))</f>
      </c>
      <c r="D671" s="9"/>
      <c r="E671" s="9"/>
      <c r="F671" s="9"/>
      <c r="G671" s="9"/>
      <c r="H671" s="9"/>
      <c r="I671" s="24"/>
      <c r="J671" s="9"/>
      <c r="K671" s="9"/>
      <c r="L671" s="20">
        <f>IF(AND(ISNUMBER($A671),$B671&lt;&gt;"",$D671&lt;&gt;"Examen partiel (ne relance pas)"),IF($A671&lt;=TODAY(),$A671,0),0)</f>
      </c>
      <c r="M671" s="20">
        <f>IF($L671=0,"",$B671&amp;"|"&amp;$L671)</f>
      </c>
    </row>
    <row r="672" spans="1:13" x14ac:dyDescent="0.25">
      <c r="A672" s="24"/>
      <c r="B672" s="9"/>
      <c r="C672" s="20">
        <f>IF($B672="","",IFERROR(INDEX(Parc!$B$2:$B$301,MATCH($B672,Parc!$A$2:$A$301,0)),"Réf. inconnue"))</f>
      </c>
      <c r="D672" s="9"/>
      <c r="E672" s="9"/>
      <c r="F672" s="9"/>
      <c r="G672" s="9"/>
      <c r="H672" s="9"/>
      <c r="I672" s="24"/>
      <c r="J672" s="9"/>
      <c r="K672" s="9"/>
      <c r="L672" s="20">
        <f>IF(AND(ISNUMBER($A672),$B672&lt;&gt;"",$D672&lt;&gt;"Examen partiel (ne relance pas)"),IF($A672&lt;=TODAY(),$A672,0),0)</f>
      </c>
      <c r="M672" s="20">
        <f>IF($L672=0,"",$B672&amp;"|"&amp;$L672)</f>
      </c>
    </row>
    <row r="673" spans="1:13" x14ac:dyDescent="0.25">
      <c r="A673" s="24"/>
      <c r="B673" s="9"/>
      <c r="C673" s="20">
        <f>IF($B673="","",IFERROR(INDEX(Parc!$B$2:$B$301,MATCH($B673,Parc!$A$2:$A$301,0)),"Réf. inconnue"))</f>
      </c>
      <c r="D673" s="9"/>
      <c r="E673" s="9"/>
      <c r="F673" s="9"/>
      <c r="G673" s="9"/>
      <c r="H673" s="9"/>
      <c r="I673" s="24"/>
      <c r="J673" s="9"/>
      <c r="K673" s="9"/>
      <c r="L673" s="20">
        <f>IF(AND(ISNUMBER($A673),$B673&lt;&gt;"",$D673&lt;&gt;"Examen partiel (ne relance pas)"),IF($A673&lt;=TODAY(),$A673,0),0)</f>
      </c>
      <c r="M673" s="20">
        <f>IF($L673=0,"",$B673&amp;"|"&amp;$L673)</f>
      </c>
    </row>
    <row r="674" spans="1:13" x14ac:dyDescent="0.25">
      <c r="A674" s="24"/>
      <c r="B674" s="9"/>
      <c r="C674" s="20">
        <f>IF($B674="","",IFERROR(INDEX(Parc!$B$2:$B$301,MATCH($B674,Parc!$A$2:$A$301,0)),"Réf. inconnue"))</f>
      </c>
      <c r="D674" s="9"/>
      <c r="E674" s="9"/>
      <c r="F674" s="9"/>
      <c r="G674" s="9"/>
      <c r="H674" s="9"/>
      <c r="I674" s="24"/>
      <c r="J674" s="9"/>
      <c r="K674" s="9"/>
      <c r="L674" s="20">
        <f>IF(AND(ISNUMBER($A674),$B674&lt;&gt;"",$D674&lt;&gt;"Examen partiel (ne relance pas)"),IF($A674&lt;=TODAY(),$A674,0),0)</f>
      </c>
      <c r="M674" s="20">
        <f>IF($L674=0,"",$B674&amp;"|"&amp;$L674)</f>
      </c>
    </row>
    <row r="675" spans="1:13" x14ac:dyDescent="0.25">
      <c r="A675" s="24"/>
      <c r="B675" s="9"/>
      <c r="C675" s="20">
        <f>IF($B675="","",IFERROR(INDEX(Parc!$B$2:$B$301,MATCH($B675,Parc!$A$2:$A$301,0)),"Réf. inconnue"))</f>
      </c>
      <c r="D675" s="9"/>
      <c r="E675" s="9"/>
      <c r="F675" s="9"/>
      <c r="G675" s="9"/>
      <c r="H675" s="9"/>
      <c r="I675" s="24"/>
      <c r="J675" s="9"/>
      <c r="K675" s="9"/>
      <c r="L675" s="20">
        <f>IF(AND(ISNUMBER($A675),$B675&lt;&gt;"",$D675&lt;&gt;"Examen partiel (ne relance pas)"),IF($A675&lt;=TODAY(),$A675,0),0)</f>
      </c>
      <c r="M675" s="20">
        <f>IF($L675=0,"",$B675&amp;"|"&amp;$L675)</f>
      </c>
    </row>
    <row r="676" spans="1:13" x14ac:dyDescent="0.25">
      <c r="A676" s="24"/>
      <c r="B676" s="9"/>
      <c r="C676" s="20">
        <f>IF($B676="","",IFERROR(INDEX(Parc!$B$2:$B$301,MATCH($B676,Parc!$A$2:$A$301,0)),"Réf. inconnue"))</f>
      </c>
      <c r="D676" s="9"/>
      <c r="E676" s="9"/>
      <c r="F676" s="9"/>
      <c r="G676" s="9"/>
      <c r="H676" s="9"/>
      <c r="I676" s="24"/>
      <c r="J676" s="9"/>
      <c r="K676" s="9"/>
      <c r="L676" s="20">
        <f>IF(AND(ISNUMBER($A676),$B676&lt;&gt;"",$D676&lt;&gt;"Examen partiel (ne relance pas)"),IF($A676&lt;=TODAY(),$A676,0),0)</f>
      </c>
      <c r="M676" s="20">
        <f>IF($L676=0,"",$B676&amp;"|"&amp;$L676)</f>
      </c>
    </row>
    <row r="677" spans="1:13" x14ac:dyDescent="0.25">
      <c r="A677" s="24"/>
      <c r="B677" s="9"/>
      <c r="C677" s="20">
        <f>IF($B677="","",IFERROR(INDEX(Parc!$B$2:$B$301,MATCH($B677,Parc!$A$2:$A$301,0)),"Réf. inconnue"))</f>
      </c>
      <c r="D677" s="9"/>
      <c r="E677" s="9"/>
      <c r="F677" s="9"/>
      <c r="G677" s="9"/>
      <c r="H677" s="9"/>
      <c r="I677" s="24"/>
      <c r="J677" s="9"/>
      <c r="K677" s="9"/>
      <c r="L677" s="20">
        <f>IF(AND(ISNUMBER($A677),$B677&lt;&gt;"",$D677&lt;&gt;"Examen partiel (ne relance pas)"),IF($A677&lt;=TODAY(),$A677,0),0)</f>
      </c>
      <c r="M677" s="20">
        <f>IF($L677=0,"",$B677&amp;"|"&amp;$L677)</f>
      </c>
    </row>
    <row r="678" spans="1:13" x14ac:dyDescent="0.25">
      <c r="A678" s="24"/>
      <c r="B678" s="9"/>
      <c r="C678" s="20">
        <f>IF($B678="","",IFERROR(INDEX(Parc!$B$2:$B$301,MATCH($B678,Parc!$A$2:$A$301,0)),"Réf. inconnue"))</f>
      </c>
      <c r="D678" s="9"/>
      <c r="E678" s="9"/>
      <c r="F678" s="9"/>
      <c r="G678" s="9"/>
      <c r="H678" s="9"/>
      <c r="I678" s="24"/>
      <c r="J678" s="9"/>
      <c r="K678" s="9"/>
      <c r="L678" s="20">
        <f>IF(AND(ISNUMBER($A678),$B678&lt;&gt;"",$D678&lt;&gt;"Examen partiel (ne relance pas)"),IF($A678&lt;=TODAY(),$A678,0),0)</f>
      </c>
      <c r="M678" s="20">
        <f>IF($L678=0,"",$B678&amp;"|"&amp;$L678)</f>
      </c>
    </row>
    <row r="679" spans="1:13" x14ac:dyDescent="0.25">
      <c r="A679" s="24"/>
      <c r="B679" s="9"/>
      <c r="C679" s="20">
        <f>IF($B679="","",IFERROR(INDEX(Parc!$B$2:$B$301,MATCH($B679,Parc!$A$2:$A$301,0)),"Réf. inconnue"))</f>
      </c>
      <c r="D679" s="9"/>
      <c r="E679" s="9"/>
      <c r="F679" s="9"/>
      <c r="G679" s="9"/>
      <c r="H679" s="9"/>
      <c r="I679" s="24"/>
      <c r="J679" s="9"/>
      <c r="K679" s="9"/>
      <c r="L679" s="20">
        <f>IF(AND(ISNUMBER($A679),$B679&lt;&gt;"",$D679&lt;&gt;"Examen partiel (ne relance pas)"),IF($A679&lt;=TODAY(),$A679,0),0)</f>
      </c>
      <c r="M679" s="20">
        <f>IF($L679=0,"",$B679&amp;"|"&amp;$L679)</f>
      </c>
    </row>
    <row r="680" spans="1:13" x14ac:dyDescent="0.25">
      <c r="A680" s="24"/>
      <c r="B680" s="9"/>
      <c r="C680" s="20">
        <f>IF($B680="","",IFERROR(INDEX(Parc!$B$2:$B$301,MATCH($B680,Parc!$A$2:$A$301,0)),"Réf. inconnue"))</f>
      </c>
      <c r="D680" s="9"/>
      <c r="E680" s="9"/>
      <c r="F680" s="9"/>
      <c r="G680" s="9"/>
      <c r="H680" s="9"/>
      <c r="I680" s="24"/>
      <c r="J680" s="9"/>
      <c r="K680" s="9"/>
      <c r="L680" s="20">
        <f>IF(AND(ISNUMBER($A680),$B680&lt;&gt;"",$D680&lt;&gt;"Examen partiel (ne relance pas)"),IF($A680&lt;=TODAY(),$A680,0),0)</f>
      </c>
      <c r="M680" s="20">
        <f>IF($L680=0,"",$B680&amp;"|"&amp;$L680)</f>
      </c>
    </row>
    <row r="681" spans="1:13" x14ac:dyDescent="0.25">
      <c r="A681" s="24"/>
      <c r="B681" s="9"/>
      <c r="C681" s="20">
        <f>IF($B681="","",IFERROR(INDEX(Parc!$B$2:$B$301,MATCH($B681,Parc!$A$2:$A$301,0)),"Réf. inconnue"))</f>
      </c>
      <c r="D681" s="9"/>
      <c r="E681" s="9"/>
      <c r="F681" s="9"/>
      <c r="G681" s="9"/>
      <c r="H681" s="9"/>
      <c r="I681" s="24"/>
      <c r="J681" s="9"/>
      <c r="K681" s="9"/>
      <c r="L681" s="20">
        <f>IF(AND(ISNUMBER($A681),$B681&lt;&gt;"",$D681&lt;&gt;"Examen partiel (ne relance pas)"),IF($A681&lt;=TODAY(),$A681,0),0)</f>
      </c>
      <c r="M681" s="20">
        <f>IF($L681=0,"",$B681&amp;"|"&amp;$L681)</f>
      </c>
    </row>
    <row r="682" spans="1:13" x14ac:dyDescent="0.25">
      <c r="A682" s="24"/>
      <c r="B682" s="9"/>
      <c r="C682" s="20">
        <f>IF($B682="","",IFERROR(INDEX(Parc!$B$2:$B$301,MATCH($B682,Parc!$A$2:$A$301,0)),"Réf. inconnue"))</f>
      </c>
      <c r="D682" s="9"/>
      <c r="E682" s="9"/>
      <c r="F682" s="9"/>
      <c r="G682" s="9"/>
      <c r="H682" s="9"/>
      <c r="I682" s="24"/>
      <c r="J682" s="9"/>
      <c r="K682" s="9"/>
      <c r="L682" s="20">
        <f>IF(AND(ISNUMBER($A682),$B682&lt;&gt;"",$D682&lt;&gt;"Examen partiel (ne relance pas)"),IF($A682&lt;=TODAY(),$A682,0),0)</f>
      </c>
      <c r="M682" s="20">
        <f>IF($L682=0,"",$B682&amp;"|"&amp;$L682)</f>
      </c>
    </row>
    <row r="683" spans="1:13" x14ac:dyDescent="0.25">
      <c r="A683" s="24"/>
      <c r="B683" s="9"/>
      <c r="C683" s="20">
        <f>IF($B683="","",IFERROR(INDEX(Parc!$B$2:$B$301,MATCH($B683,Parc!$A$2:$A$301,0)),"Réf. inconnue"))</f>
      </c>
      <c r="D683" s="9"/>
      <c r="E683" s="9"/>
      <c r="F683" s="9"/>
      <c r="G683" s="9"/>
      <c r="H683" s="9"/>
      <c r="I683" s="24"/>
      <c r="J683" s="9"/>
      <c r="K683" s="9"/>
      <c r="L683" s="20">
        <f>IF(AND(ISNUMBER($A683),$B683&lt;&gt;"",$D683&lt;&gt;"Examen partiel (ne relance pas)"),IF($A683&lt;=TODAY(),$A683,0),0)</f>
      </c>
      <c r="M683" s="20">
        <f>IF($L683=0,"",$B683&amp;"|"&amp;$L683)</f>
      </c>
    </row>
    <row r="684" spans="1:13" x14ac:dyDescent="0.25">
      <c r="A684" s="24"/>
      <c r="B684" s="9"/>
      <c r="C684" s="20">
        <f>IF($B684="","",IFERROR(INDEX(Parc!$B$2:$B$301,MATCH($B684,Parc!$A$2:$A$301,0)),"Réf. inconnue"))</f>
      </c>
      <c r="D684" s="9"/>
      <c r="E684" s="9"/>
      <c r="F684" s="9"/>
      <c r="G684" s="9"/>
      <c r="H684" s="9"/>
      <c r="I684" s="24"/>
      <c r="J684" s="9"/>
      <c r="K684" s="9"/>
      <c r="L684" s="20">
        <f>IF(AND(ISNUMBER($A684),$B684&lt;&gt;"",$D684&lt;&gt;"Examen partiel (ne relance pas)"),IF($A684&lt;=TODAY(),$A684,0),0)</f>
      </c>
      <c r="M684" s="20">
        <f>IF($L684=0,"",$B684&amp;"|"&amp;$L684)</f>
      </c>
    </row>
    <row r="685" spans="1:13" x14ac:dyDescent="0.25">
      <c r="A685" s="24"/>
      <c r="B685" s="9"/>
      <c r="C685" s="20">
        <f>IF($B685="","",IFERROR(INDEX(Parc!$B$2:$B$301,MATCH($B685,Parc!$A$2:$A$301,0)),"Réf. inconnue"))</f>
      </c>
      <c r="D685" s="9"/>
      <c r="E685" s="9"/>
      <c r="F685" s="9"/>
      <c r="G685" s="9"/>
      <c r="H685" s="9"/>
      <c r="I685" s="24"/>
      <c r="J685" s="9"/>
      <c r="K685" s="9"/>
      <c r="L685" s="20">
        <f>IF(AND(ISNUMBER($A685),$B685&lt;&gt;"",$D685&lt;&gt;"Examen partiel (ne relance pas)"),IF($A685&lt;=TODAY(),$A685,0),0)</f>
      </c>
      <c r="M685" s="20">
        <f>IF($L685=0,"",$B685&amp;"|"&amp;$L685)</f>
      </c>
    </row>
    <row r="686" spans="1:13" x14ac:dyDescent="0.25">
      <c r="A686" s="24"/>
      <c r="B686" s="9"/>
      <c r="C686" s="20">
        <f>IF($B686="","",IFERROR(INDEX(Parc!$B$2:$B$301,MATCH($B686,Parc!$A$2:$A$301,0)),"Réf. inconnue"))</f>
      </c>
      <c r="D686" s="9"/>
      <c r="E686" s="9"/>
      <c r="F686" s="9"/>
      <c r="G686" s="9"/>
      <c r="H686" s="9"/>
      <c r="I686" s="24"/>
      <c r="J686" s="9"/>
      <c r="K686" s="9"/>
      <c r="L686" s="20">
        <f>IF(AND(ISNUMBER($A686),$B686&lt;&gt;"",$D686&lt;&gt;"Examen partiel (ne relance pas)"),IF($A686&lt;=TODAY(),$A686,0),0)</f>
      </c>
      <c r="M686" s="20">
        <f>IF($L686=0,"",$B686&amp;"|"&amp;$L686)</f>
      </c>
    </row>
    <row r="687" spans="1:13" x14ac:dyDescent="0.25">
      <c r="A687" s="24"/>
      <c r="B687" s="9"/>
      <c r="C687" s="20">
        <f>IF($B687="","",IFERROR(INDEX(Parc!$B$2:$B$301,MATCH($B687,Parc!$A$2:$A$301,0)),"Réf. inconnue"))</f>
      </c>
      <c r="D687" s="9"/>
      <c r="E687" s="9"/>
      <c r="F687" s="9"/>
      <c r="G687" s="9"/>
      <c r="H687" s="9"/>
      <c r="I687" s="24"/>
      <c r="J687" s="9"/>
      <c r="K687" s="9"/>
      <c r="L687" s="20">
        <f>IF(AND(ISNUMBER($A687),$B687&lt;&gt;"",$D687&lt;&gt;"Examen partiel (ne relance pas)"),IF($A687&lt;=TODAY(),$A687,0),0)</f>
      </c>
      <c r="M687" s="20">
        <f>IF($L687=0,"",$B687&amp;"|"&amp;$L687)</f>
      </c>
    </row>
    <row r="688" spans="1:13" x14ac:dyDescent="0.25">
      <c r="A688" s="24"/>
      <c r="B688" s="9"/>
      <c r="C688" s="20">
        <f>IF($B688="","",IFERROR(INDEX(Parc!$B$2:$B$301,MATCH($B688,Parc!$A$2:$A$301,0)),"Réf. inconnue"))</f>
      </c>
      <c r="D688" s="9"/>
      <c r="E688" s="9"/>
      <c r="F688" s="9"/>
      <c r="G688" s="9"/>
      <c r="H688" s="9"/>
      <c r="I688" s="24"/>
      <c r="J688" s="9"/>
      <c r="K688" s="9"/>
      <c r="L688" s="20">
        <f>IF(AND(ISNUMBER($A688),$B688&lt;&gt;"",$D688&lt;&gt;"Examen partiel (ne relance pas)"),IF($A688&lt;=TODAY(),$A688,0),0)</f>
      </c>
      <c r="M688" s="20">
        <f>IF($L688=0,"",$B688&amp;"|"&amp;$L688)</f>
      </c>
    </row>
    <row r="689" spans="1:13" x14ac:dyDescent="0.25">
      <c r="A689" s="24"/>
      <c r="B689" s="9"/>
      <c r="C689" s="20">
        <f>IF($B689="","",IFERROR(INDEX(Parc!$B$2:$B$301,MATCH($B689,Parc!$A$2:$A$301,0)),"Réf. inconnue"))</f>
      </c>
      <c r="D689" s="9"/>
      <c r="E689" s="9"/>
      <c r="F689" s="9"/>
      <c r="G689" s="9"/>
      <c r="H689" s="9"/>
      <c r="I689" s="24"/>
      <c r="J689" s="9"/>
      <c r="K689" s="9"/>
      <c r="L689" s="20">
        <f>IF(AND(ISNUMBER($A689),$B689&lt;&gt;"",$D689&lt;&gt;"Examen partiel (ne relance pas)"),IF($A689&lt;=TODAY(),$A689,0),0)</f>
      </c>
      <c r="M689" s="20">
        <f>IF($L689=0,"",$B689&amp;"|"&amp;$L689)</f>
      </c>
    </row>
    <row r="690" spans="1:13" x14ac:dyDescent="0.25">
      <c r="A690" s="24"/>
      <c r="B690" s="9"/>
      <c r="C690" s="20">
        <f>IF($B690="","",IFERROR(INDEX(Parc!$B$2:$B$301,MATCH($B690,Parc!$A$2:$A$301,0)),"Réf. inconnue"))</f>
      </c>
      <c r="D690" s="9"/>
      <c r="E690" s="9"/>
      <c r="F690" s="9"/>
      <c r="G690" s="9"/>
      <c r="H690" s="9"/>
      <c r="I690" s="24"/>
      <c r="J690" s="9"/>
      <c r="K690" s="9"/>
      <c r="L690" s="20">
        <f>IF(AND(ISNUMBER($A690),$B690&lt;&gt;"",$D690&lt;&gt;"Examen partiel (ne relance pas)"),IF($A690&lt;=TODAY(),$A690,0),0)</f>
      </c>
      <c r="M690" s="20">
        <f>IF($L690=0,"",$B690&amp;"|"&amp;$L690)</f>
      </c>
    </row>
    <row r="691" spans="1:13" x14ac:dyDescent="0.25">
      <c r="A691" s="24"/>
      <c r="B691" s="9"/>
      <c r="C691" s="20">
        <f>IF($B691="","",IFERROR(INDEX(Parc!$B$2:$B$301,MATCH($B691,Parc!$A$2:$A$301,0)),"Réf. inconnue"))</f>
      </c>
      <c r="D691" s="9"/>
      <c r="E691" s="9"/>
      <c r="F691" s="9"/>
      <c r="G691" s="9"/>
      <c r="H691" s="9"/>
      <c r="I691" s="24"/>
      <c r="J691" s="9"/>
      <c r="K691" s="9"/>
      <c r="L691" s="20">
        <f>IF(AND(ISNUMBER($A691),$B691&lt;&gt;"",$D691&lt;&gt;"Examen partiel (ne relance pas)"),IF($A691&lt;=TODAY(),$A691,0),0)</f>
      </c>
      <c r="M691" s="20">
        <f>IF($L691=0,"",$B691&amp;"|"&amp;$L691)</f>
      </c>
    </row>
    <row r="692" spans="1:13" x14ac:dyDescent="0.25">
      <c r="A692" s="24"/>
      <c r="B692" s="9"/>
      <c r="C692" s="20">
        <f>IF($B692="","",IFERROR(INDEX(Parc!$B$2:$B$301,MATCH($B692,Parc!$A$2:$A$301,0)),"Réf. inconnue"))</f>
      </c>
      <c r="D692" s="9"/>
      <c r="E692" s="9"/>
      <c r="F692" s="9"/>
      <c r="G692" s="9"/>
      <c r="H692" s="9"/>
      <c r="I692" s="24"/>
      <c r="J692" s="9"/>
      <c r="K692" s="9"/>
      <c r="L692" s="20">
        <f>IF(AND(ISNUMBER($A692),$B692&lt;&gt;"",$D692&lt;&gt;"Examen partiel (ne relance pas)"),IF($A692&lt;=TODAY(),$A692,0),0)</f>
      </c>
      <c r="M692" s="20">
        <f>IF($L692=0,"",$B692&amp;"|"&amp;$L692)</f>
      </c>
    </row>
    <row r="693" spans="1:13" x14ac:dyDescent="0.25">
      <c r="A693" s="24"/>
      <c r="B693" s="9"/>
      <c r="C693" s="20">
        <f>IF($B693="","",IFERROR(INDEX(Parc!$B$2:$B$301,MATCH($B693,Parc!$A$2:$A$301,0)),"Réf. inconnue"))</f>
      </c>
      <c r="D693" s="9"/>
      <c r="E693" s="9"/>
      <c r="F693" s="9"/>
      <c r="G693" s="9"/>
      <c r="H693" s="9"/>
      <c r="I693" s="24"/>
      <c r="J693" s="9"/>
      <c r="K693" s="9"/>
      <c r="L693" s="20">
        <f>IF(AND(ISNUMBER($A693),$B693&lt;&gt;"",$D693&lt;&gt;"Examen partiel (ne relance pas)"),IF($A693&lt;=TODAY(),$A693,0),0)</f>
      </c>
      <c r="M693" s="20">
        <f>IF($L693=0,"",$B693&amp;"|"&amp;$L693)</f>
      </c>
    </row>
    <row r="694" spans="1:13" x14ac:dyDescent="0.25">
      <c r="A694" s="24"/>
      <c r="B694" s="9"/>
      <c r="C694" s="20">
        <f>IF($B694="","",IFERROR(INDEX(Parc!$B$2:$B$301,MATCH($B694,Parc!$A$2:$A$301,0)),"Réf. inconnue"))</f>
      </c>
      <c r="D694" s="9"/>
      <c r="E694" s="9"/>
      <c r="F694" s="9"/>
      <c r="G694" s="9"/>
      <c r="H694" s="9"/>
      <c r="I694" s="24"/>
      <c r="J694" s="9"/>
      <c r="K694" s="9"/>
      <c r="L694" s="20">
        <f>IF(AND(ISNUMBER($A694),$B694&lt;&gt;"",$D694&lt;&gt;"Examen partiel (ne relance pas)"),IF($A694&lt;=TODAY(),$A694,0),0)</f>
      </c>
      <c r="M694" s="20">
        <f>IF($L694=0,"",$B694&amp;"|"&amp;$L694)</f>
      </c>
    </row>
    <row r="695" spans="1:13" x14ac:dyDescent="0.25">
      <c r="A695" s="24"/>
      <c r="B695" s="9"/>
      <c r="C695" s="20">
        <f>IF($B695="","",IFERROR(INDEX(Parc!$B$2:$B$301,MATCH($B695,Parc!$A$2:$A$301,0)),"Réf. inconnue"))</f>
      </c>
      <c r="D695" s="9"/>
      <c r="E695" s="9"/>
      <c r="F695" s="9"/>
      <c r="G695" s="9"/>
      <c r="H695" s="9"/>
      <c r="I695" s="24"/>
      <c r="J695" s="9"/>
      <c r="K695" s="9"/>
      <c r="L695" s="20">
        <f>IF(AND(ISNUMBER($A695),$B695&lt;&gt;"",$D695&lt;&gt;"Examen partiel (ne relance pas)"),IF($A695&lt;=TODAY(),$A695,0),0)</f>
      </c>
      <c r="M695" s="20">
        <f>IF($L695=0,"",$B695&amp;"|"&amp;$L695)</f>
      </c>
    </row>
    <row r="696" spans="1:13" x14ac:dyDescent="0.25">
      <c r="A696" s="24"/>
      <c r="B696" s="9"/>
      <c r="C696" s="20">
        <f>IF($B696="","",IFERROR(INDEX(Parc!$B$2:$B$301,MATCH($B696,Parc!$A$2:$A$301,0)),"Réf. inconnue"))</f>
      </c>
      <c r="D696" s="9"/>
      <c r="E696" s="9"/>
      <c r="F696" s="9"/>
      <c r="G696" s="9"/>
      <c r="H696" s="9"/>
      <c r="I696" s="24"/>
      <c r="J696" s="9"/>
      <c r="K696" s="9"/>
      <c r="L696" s="20">
        <f>IF(AND(ISNUMBER($A696),$B696&lt;&gt;"",$D696&lt;&gt;"Examen partiel (ne relance pas)"),IF($A696&lt;=TODAY(),$A696,0),0)</f>
      </c>
      <c r="M696" s="20">
        <f>IF($L696=0,"",$B696&amp;"|"&amp;$L696)</f>
      </c>
    </row>
    <row r="697" spans="1:13" x14ac:dyDescent="0.25">
      <c r="A697" s="24"/>
      <c r="B697" s="9"/>
      <c r="C697" s="20">
        <f>IF($B697="","",IFERROR(INDEX(Parc!$B$2:$B$301,MATCH($B697,Parc!$A$2:$A$301,0)),"Réf. inconnue"))</f>
      </c>
      <c r="D697" s="9"/>
      <c r="E697" s="9"/>
      <c r="F697" s="9"/>
      <c r="G697" s="9"/>
      <c r="H697" s="9"/>
      <c r="I697" s="24"/>
      <c r="J697" s="9"/>
      <c r="K697" s="9"/>
      <c r="L697" s="20">
        <f>IF(AND(ISNUMBER($A697),$B697&lt;&gt;"",$D697&lt;&gt;"Examen partiel (ne relance pas)"),IF($A697&lt;=TODAY(),$A697,0),0)</f>
      </c>
      <c r="M697" s="20">
        <f>IF($L697=0,"",$B697&amp;"|"&amp;$L697)</f>
      </c>
    </row>
    <row r="698" spans="1:13" x14ac:dyDescent="0.25">
      <c r="A698" s="24"/>
      <c r="B698" s="9"/>
      <c r="C698" s="20">
        <f>IF($B698="","",IFERROR(INDEX(Parc!$B$2:$B$301,MATCH($B698,Parc!$A$2:$A$301,0)),"Réf. inconnue"))</f>
      </c>
      <c r="D698" s="9"/>
      <c r="E698" s="9"/>
      <c r="F698" s="9"/>
      <c r="G698" s="9"/>
      <c r="H698" s="9"/>
      <c r="I698" s="24"/>
      <c r="J698" s="9"/>
      <c r="K698" s="9"/>
      <c r="L698" s="20">
        <f>IF(AND(ISNUMBER($A698),$B698&lt;&gt;"",$D698&lt;&gt;"Examen partiel (ne relance pas)"),IF($A698&lt;=TODAY(),$A698,0),0)</f>
      </c>
      <c r="M698" s="20">
        <f>IF($L698=0,"",$B698&amp;"|"&amp;$L698)</f>
      </c>
    </row>
    <row r="699" spans="1:13" x14ac:dyDescent="0.25">
      <c r="A699" s="24"/>
      <c r="B699" s="9"/>
      <c r="C699" s="20">
        <f>IF($B699="","",IFERROR(INDEX(Parc!$B$2:$B$301,MATCH($B699,Parc!$A$2:$A$301,0)),"Réf. inconnue"))</f>
      </c>
      <c r="D699" s="9"/>
      <c r="E699" s="9"/>
      <c r="F699" s="9"/>
      <c r="G699" s="9"/>
      <c r="H699" s="9"/>
      <c r="I699" s="24"/>
      <c r="J699" s="9"/>
      <c r="K699" s="9"/>
      <c r="L699" s="20">
        <f>IF(AND(ISNUMBER($A699),$B699&lt;&gt;"",$D699&lt;&gt;"Examen partiel (ne relance pas)"),IF($A699&lt;=TODAY(),$A699,0),0)</f>
      </c>
      <c r="M699" s="20">
        <f>IF($L699=0,"",$B699&amp;"|"&amp;$L699)</f>
      </c>
    </row>
    <row r="700" spans="1:13" x14ac:dyDescent="0.25">
      <c r="A700" s="24"/>
      <c r="B700" s="9"/>
      <c r="C700" s="20">
        <f>IF($B700="","",IFERROR(INDEX(Parc!$B$2:$B$301,MATCH($B700,Parc!$A$2:$A$301,0)),"Réf. inconnue"))</f>
      </c>
      <c r="D700" s="9"/>
      <c r="E700" s="9"/>
      <c r="F700" s="9"/>
      <c r="G700" s="9"/>
      <c r="H700" s="9"/>
      <c r="I700" s="24"/>
      <c r="J700" s="9"/>
      <c r="K700" s="9"/>
      <c r="L700" s="20">
        <f>IF(AND(ISNUMBER($A700),$B700&lt;&gt;"",$D700&lt;&gt;"Examen partiel (ne relance pas)"),IF($A700&lt;=TODAY(),$A700,0),0)</f>
      </c>
      <c r="M700" s="20">
        <f>IF($L700=0,"",$B700&amp;"|"&amp;$L700)</f>
      </c>
    </row>
    <row r="701" spans="1:13" x14ac:dyDescent="0.25">
      <c r="A701" s="24"/>
      <c r="B701" s="9"/>
      <c r="C701" s="20">
        <f>IF($B701="","",IFERROR(INDEX(Parc!$B$2:$B$301,MATCH($B701,Parc!$A$2:$A$301,0)),"Réf. inconnue"))</f>
      </c>
      <c r="D701" s="9"/>
      <c r="E701" s="9"/>
      <c r="F701" s="9"/>
      <c r="G701" s="9"/>
      <c r="H701" s="9"/>
      <c r="I701" s="24"/>
      <c r="J701" s="9"/>
      <c r="K701" s="9"/>
      <c r="L701" s="20">
        <f>IF(AND(ISNUMBER($A701),$B701&lt;&gt;"",$D701&lt;&gt;"Examen partiel (ne relance pas)"),IF($A701&lt;=TODAY(),$A701,0),0)</f>
      </c>
      <c r="M701" s="20">
        <f>IF($L701=0,"",$B701&amp;"|"&amp;$L701)</f>
      </c>
    </row>
    <row r="702" spans="1:13" x14ac:dyDescent="0.25">
      <c r="A702" s="24"/>
      <c r="B702" s="9"/>
      <c r="C702" s="20">
        <f>IF($B702="","",IFERROR(INDEX(Parc!$B$2:$B$301,MATCH($B702,Parc!$A$2:$A$301,0)),"Réf. inconnue"))</f>
      </c>
      <c r="D702" s="9"/>
      <c r="E702" s="9"/>
      <c r="F702" s="9"/>
      <c r="G702" s="9"/>
      <c r="H702" s="9"/>
      <c r="I702" s="24"/>
      <c r="J702" s="9"/>
      <c r="K702" s="9"/>
      <c r="L702" s="20">
        <f>IF(AND(ISNUMBER($A702),$B702&lt;&gt;"",$D702&lt;&gt;"Examen partiel (ne relance pas)"),IF($A702&lt;=TODAY(),$A702,0),0)</f>
      </c>
      <c r="M702" s="20">
        <f>IF($L702=0,"",$B702&amp;"|"&amp;$L702)</f>
      </c>
    </row>
    <row r="703" spans="1:13" x14ac:dyDescent="0.25">
      <c r="A703" s="24"/>
      <c r="B703" s="9"/>
      <c r="C703" s="20">
        <f>IF($B703="","",IFERROR(INDEX(Parc!$B$2:$B$301,MATCH($B703,Parc!$A$2:$A$301,0)),"Réf. inconnue"))</f>
      </c>
      <c r="D703" s="9"/>
      <c r="E703" s="9"/>
      <c r="F703" s="9"/>
      <c r="G703" s="9"/>
      <c r="H703" s="9"/>
      <c r="I703" s="24"/>
      <c r="J703" s="9"/>
      <c r="K703" s="9"/>
      <c r="L703" s="20">
        <f>IF(AND(ISNUMBER($A703),$B703&lt;&gt;"",$D703&lt;&gt;"Examen partiel (ne relance pas)"),IF($A703&lt;=TODAY(),$A703,0),0)</f>
      </c>
      <c r="M703" s="20">
        <f>IF($L703=0,"",$B703&amp;"|"&amp;$L703)</f>
      </c>
    </row>
    <row r="704" spans="1:13" x14ac:dyDescent="0.25">
      <c r="A704" s="24"/>
      <c r="B704" s="9"/>
      <c r="C704" s="20">
        <f>IF($B704="","",IFERROR(INDEX(Parc!$B$2:$B$301,MATCH($B704,Parc!$A$2:$A$301,0)),"Réf. inconnue"))</f>
      </c>
      <c r="D704" s="9"/>
      <c r="E704" s="9"/>
      <c r="F704" s="9"/>
      <c r="G704" s="9"/>
      <c r="H704" s="9"/>
      <c r="I704" s="24"/>
      <c r="J704" s="9"/>
      <c r="K704" s="9"/>
      <c r="L704" s="20">
        <f>IF(AND(ISNUMBER($A704),$B704&lt;&gt;"",$D704&lt;&gt;"Examen partiel (ne relance pas)"),IF($A704&lt;=TODAY(),$A704,0),0)</f>
      </c>
      <c r="M704" s="20">
        <f>IF($L704=0,"",$B704&amp;"|"&amp;$L704)</f>
      </c>
    </row>
    <row r="705" spans="1:13" x14ac:dyDescent="0.25">
      <c r="A705" s="24"/>
      <c r="B705" s="9"/>
      <c r="C705" s="20">
        <f>IF($B705="","",IFERROR(INDEX(Parc!$B$2:$B$301,MATCH($B705,Parc!$A$2:$A$301,0)),"Réf. inconnue"))</f>
      </c>
      <c r="D705" s="9"/>
      <c r="E705" s="9"/>
      <c r="F705" s="9"/>
      <c r="G705" s="9"/>
      <c r="H705" s="9"/>
      <c r="I705" s="24"/>
      <c r="J705" s="9"/>
      <c r="K705" s="9"/>
      <c r="L705" s="20">
        <f>IF(AND(ISNUMBER($A705),$B705&lt;&gt;"",$D705&lt;&gt;"Examen partiel (ne relance pas)"),IF($A705&lt;=TODAY(),$A705,0),0)</f>
      </c>
      <c r="M705" s="20">
        <f>IF($L705=0,"",$B705&amp;"|"&amp;$L705)</f>
      </c>
    </row>
    <row r="706" spans="1:13" x14ac:dyDescent="0.25">
      <c r="A706" s="24"/>
      <c r="B706" s="9"/>
      <c r="C706" s="20">
        <f>IF($B706="","",IFERROR(INDEX(Parc!$B$2:$B$301,MATCH($B706,Parc!$A$2:$A$301,0)),"Réf. inconnue"))</f>
      </c>
      <c r="D706" s="9"/>
      <c r="E706" s="9"/>
      <c r="F706" s="9"/>
      <c r="G706" s="9"/>
      <c r="H706" s="9"/>
      <c r="I706" s="24"/>
      <c r="J706" s="9"/>
      <c r="K706" s="9"/>
      <c r="L706" s="20">
        <f>IF(AND(ISNUMBER($A706),$B706&lt;&gt;"",$D706&lt;&gt;"Examen partiel (ne relance pas)"),IF($A706&lt;=TODAY(),$A706,0),0)</f>
      </c>
      <c r="M706" s="20">
        <f>IF($L706=0,"",$B706&amp;"|"&amp;$L706)</f>
      </c>
    </row>
    <row r="707" spans="1:13" x14ac:dyDescent="0.25">
      <c r="A707" s="24"/>
      <c r="B707" s="9"/>
      <c r="C707" s="20">
        <f>IF($B707="","",IFERROR(INDEX(Parc!$B$2:$B$301,MATCH($B707,Parc!$A$2:$A$301,0)),"Réf. inconnue"))</f>
      </c>
      <c r="D707" s="9"/>
      <c r="E707" s="9"/>
      <c r="F707" s="9"/>
      <c r="G707" s="9"/>
      <c r="H707" s="9"/>
      <c r="I707" s="24"/>
      <c r="J707" s="9"/>
      <c r="K707" s="9"/>
      <c r="L707" s="20">
        <f>IF(AND(ISNUMBER($A707),$B707&lt;&gt;"",$D707&lt;&gt;"Examen partiel (ne relance pas)"),IF($A707&lt;=TODAY(),$A707,0),0)</f>
      </c>
      <c r="M707" s="20">
        <f>IF($L707=0,"",$B707&amp;"|"&amp;$L707)</f>
      </c>
    </row>
    <row r="708" spans="1:13" x14ac:dyDescent="0.25">
      <c r="A708" s="24"/>
      <c r="B708" s="9"/>
      <c r="C708" s="20">
        <f>IF($B708="","",IFERROR(INDEX(Parc!$B$2:$B$301,MATCH($B708,Parc!$A$2:$A$301,0)),"Réf. inconnue"))</f>
      </c>
      <c r="D708" s="9"/>
      <c r="E708" s="9"/>
      <c r="F708" s="9"/>
      <c r="G708" s="9"/>
      <c r="H708" s="9"/>
      <c r="I708" s="24"/>
      <c r="J708" s="9"/>
      <c r="K708" s="9"/>
      <c r="L708" s="20">
        <f>IF(AND(ISNUMBER($A708),$B708&lt;&gt;"",$D708&lt;&gt;"Examen partiel (ne relance pas)"),IF($A708&lt;=TODAY(),$A708,0),0)</f>
      </c>
      <c r="M708" s="20">
        <f>IF($L708=0,"",$B708&amp;"|"&amp;$L708)</f>
      </c>
    </row>
    <row r="709" spans="1:13" x14ac:dyDescent="0.25">
      <c r="A709" s="24"/>
      <c r="B709" s="9"/>
      <c r="C709" s="20">
        <f>IF($B709="","",IFERROR(INDEX(Parc!$B$2:$B$301,MATCH($B709,Parc!$A$2:$A$301,0)),"Réf. inconnue"))</f>
      </c>
      <c r="D709" s="9"/>
      <c r="E709" s="9"/>
      <c r="F709" s="9"/>
      <c r="G709" s="9"/>
      <c r="H709" s="9"/>
      <c r="I709" s="24"/>
      <c r="J709" s="9"/>
      <c r="K709" s="9"/>
      <c r="L709" s="20">
        <f>IF(AND(ISNUMBER($A709),$B709&lt;&gt;"",$D709&lt;&gt;"Examen partiel (ne relance pas)"),IF($A709&lt;=TODAY(),$A709,0),0)</f>
      </c>
      <c r="M709" s="20">
        <f>IF($L709=0,"",$B709&amp;"|"&amp;$L709)</f>
      </c>
    </row>
    <row r="710" spans="1:13" x14ac:dyDescent="0.25">
      <c r="A710" s="24"/>
      <c r="B710" s="9"/>
      <c r="C710" s="20">
        <f>IF($B710="","",IFERROR(INDEX(Parc!$B$2:$B$301,MATCH($B710,Parc!$A$2:$A$301,0)),"Réf. inconnue"))</f>
      </c>
      <c r="D710" s="9"/>
      <c r="E710" s="9"/>
      <c r="F710" s="9"/>
      <c r="G710" s="9"/>
      <c r="H710" s="9"/>
      <c r="I710" s="24"/>
      <c r="J710" s="9"/>
      <c r="K710" s="9"/>
      <c r="L710" s="20">
        <f>IF(AND(ISNUMBER($A710),$B710&lt;&gt;"",$D710&lt;&gt;"Examen partiel (ne relance pas)"),IF($A710&lt;=TODAY(),$A710,0),0)</f>
      </c>
      <c r="M710" s="20">
        <f>IF($L710=0,"",$B710&amp;"|"&amp;$L710)</f>
      </c>
    </row>
    <row r="711" spans="1:13" x14ac:dyDescent="0.25">
      <c r="A711" s="24"/>
      <c r="B711" s="9"/>
      <c r="C711" s="20">
        <f>IF($B711="","",IFERROR(INDEX(Parc!$B$2:$B$301,MATCH($B711,Parc!$A$2:$A$301,0)),"Réf. inconnue"))</f>
      </c>
      <c r="D711" s="9"/>
      <c r="E711" s="9"/>
      <c r="F711" s="9"/>
      <c r="G711" s="9"/>
      <c r="H711" s="9"/>
      <c r="I711" s="24"/>
      <c r="J711" s="9"/>
      <c r="K711" s="9"/>
      <c r="L711" s="20">
        <f>IF(AND(ISNUMBER($A711),$B711&lt;&gt;"",$D711&lt;&gt;"Examen partiel (ne relance pas)"),IF($A711&lt;=TODAY(),$A711,0),0)</f>
      </c>
      <c r="M711" s="20">
        <f>IF($L711=0,"",$B711&amp;"|"&amp;$L711)</f>
      </c>
    </row>
    <row r="712" spans="1:13" x14ac:dyDescent="0.25">
      <c r="A712" s="24"/>
      <c r="B712" s="9"/>
      <c r="C712" s="20">
        <f>IF($B712="","",IFERROR(INDEX(Parc!$B$2:$B$301,MATCH($B712,Parc!$A$2:$A$301,0)),"Réf. inconnue"))</f>
      </c>
      <c r="D712" s="9"/>
      <c r="E712" s="9"/>
      <c r="F712" s="9"/>
      <c r="G712" s="9"/>
      <c r="H712" s="9"/>
      <c r="I712" s="24"/>
      <c r="J712" s="9"/>
      <c r="K712" s="9"/>
      <c r="L712" s="20">
        <f>IF(AND(ISNUMBER($A712),$B712&lt;&gt;"",$D712&lt;&gt;"Examen partiel (ne relance pas)"),IF($A712&lt;=TODAY(),$A712,0),0)</f>
      </c>
      <c r="M712" s="20">
        <f>IF($L712=0,"",$B712&amp;"|"&amp;$L712)</f>
      </c>
    </row>
    <row r="713" spans="1:13" x14ac:dyDescent="0.25">
      <c r="A713" s="24"/>
      <c r="B713" s="9"/>
      <c r="C713" s="20">
        <f>IF($B713="","",IFERROR(INDEX(Parc!$B$2:$B$301,MATCH($B713,Parc!$A$2:$A$301,0)),"Réf. inconnue"))</f>
      </c>
      <c r="D713" s="9"/>
      <c r="E713" s="9"/>
      <c r="F713" s="9"/>
      <c r="G713" s="9"/>
      <c r="H713" s="9"/>
      <c r="I713" s="24"/>
      <c r="J713" s="9"/>
      <c r="K713" s="9"/>
      <c r="L713" s="20">
        <f>IF(AND(ISNUMBER($A713),$B713&lt;&gt;"",$D713&lt;&gt;"Examen partiel (ne relance pas)"),IF($A713&lt;=TODAY(),$A713,0),0)</f>
      </c>
      <c r="M713" s="20">
        <f>IF($L713=0,"",$B713&amp;"|"&amp;$L713)</f>
      </c>
    </row>
    <row r="714" spans="1:13" x14ac:dyDescent="0.25">
      <c r="A714" s="24"/>
      <c r="B714" s="9"/>
      <c r="C714" s="20">
        <f>IF($B714="","",IFERROR(INDEX(Parc!$B$2:$B$301,MATCH($B714,Parc!$A$2:$A$301,0)),"Réf. inconnue"))</f>
      </c>
      <c r="D714" s="9"/>
      <c r="E714" s="9"/>
      <c r="F714" s="9"/>
      <c r="G714" s="9"/>
      <c r="H714" s="9"/>
      <c r="I714" s="24"/>
      <c r="J714" s="9"/>
      <c r="K714" s="9"/>
      <c r="L714" s="20">
        <f>IF(AND(ISNUMBER($A714),$B714&lt;&gt;"",$D714&lt;&gt;"Examen partiel (ne relance pas)"),IF($A714&lt;=TODAY(),$A714,0),0)</f>
      </c>
      <c r="M714" s="20">
        <f>IF($L714=0,"",$B714&amp;"|"&amp;$L714)</f>
      </c>
    </row>
    <row r="715" spans="1:13" x14ac:dyDescent="0.25">
      <c r="A715" s="24"/>
      <c r="B715" s="9"/>
      <c r="C715" s="20">
        <f>IF($B715="","",IFERROR(INDEX(Parc!$B$2:$B$301,MATCH($B715,Parc!$A$2:$A$301,0)),"Réf. inconnue"))</f>
      </c>
      <c r="D715" s="9"/>
      <c r="E715" s="9"/>
      <c r="F715" s="9"/>
      <c r="G715" s="9"/>
      <c r="H715" s="9"/>
      <c r="I715" s="24"/>
      <c r="J715" s="9"/>
      <c r="K715" s="9"/>
      <c r="L715" s="20">
        <f>IF(AND(ISNUMBER($A715),$B715&lt;&gt;"",$D715&lt;&gt;"Examen partiel (ne relance pas)"),IF($A715&lt;=TODAY(),$A715,0),0)</f>
      </c>
      <c r="M715" s="20">
        <f>IF($L715=0,"",$B715&amp;"|"&amp;$L715)</f>
      </c>
    </row>
    <row r="716" spans="1:13" x14ac:dyDescent="0.25">
      <c r="A716" s="24"/>
      <c r="B716" s="9"/>
      <c r="C716" s="20">
        <f>IF($B716="","",IFERROR(INDEX(Parc!$B$2:$B$301,MATCH($B716,Parc!$A$2:$A$301,0)),"Réf. inconnue"))</f>
      </c>
      <c r="D716" s="9"/>
      <c r="E716" s="9"/>
      <c r="F716" s="9"/>
      <c r="G716" s="9"/>
      <c r="H716" s="9"/>
      <c r="I716" s="24"/>
      <c r="J716" s="9"/>
      <c r="K716" s="9"/>
      <c r="L716" s="20">
        <f>IF(AND(ISNUMBER($A716),$B716&lt;&gt;"",$D716&lt;&gt;"Examen partiel (ne relance pas)"),IF($A716&lt;=TODAY(),$A716,0),0)</f>
      </c>
      <c r="M716" s="20">
        <f>IF($L716=0,"",$B716&amp;"|"&amp;$L716)</f>
      </c>
    </row>
    <row r="717" spans="1:13" x14ac:dyDescent="0.25">
      <c r="A717" s="24"/>
      <c r="B717" s="9"/>
      <c r="C717" s="20">
        <f>IF($B717="","",IFERROR(INDEX(Parc!$B$2:$B$301,MATCH($B717,Parc!$A$2:$A$301,0)),"Réf. inconnue"))</f>
      </c>
      <c r="D717" s="9"/>
      <c r="E717" s="9"/>
      <c r="F717" s="9"/>
      <c r="G717" s="9"/>
      <c r="H717" s="9"/>
      <c r="I717" s="24"/>
      <c r="J717" s="9"/>
      <c r="K717" s="9"/>
      <c r="L717" s="20">
        <f>IF(AND(ISNUMBER($A717),$B717&lt;&gt;"",$D717&lt;&gt;"Examen partiel (ne relance pas)"),IF($A717&lt;=TODAY(),$A717,0),0)</f>
      </c>
      <c r="M717" s="20">
        <f>IF($L717=0,"",$B717&amp;"|"&amp;$L717)</f>
      </c>
    </row>
    <row r="718" spans="1:13" x14ac:dyDescent="0.25">
      <c r="A718" s="24"/>
      <c r="B718" s="9"/>
      <c r="C718" s="20">
        <f>IF($B718="","",IFERROR(INDEX(Parc!$B$2:$B$301,MATCH($B718,Parc!$A$2:$A$301,0)),"Réf. inconnue"))</f>
      </c>
      <c r="D718" s="9"/>
      <c r="E718" s="9"/>
      <c r="F718" s="9"/>
      <c r="G718" s="9"/>
      <c r="H718" s="9"/>
      <c r="I718" s="24"/>
      <c r="J718" s="9"/>
      <c r="K718" s="9"/>
      <c r="L718" s="20">
        <f>IF(AND(ISNUMBER($A718),$B718&lt;&gt;"",$D718&lt;&gt;"Examen partiel (ne relance pas)"),IF($A718&lt;=TODAY(),$A718,0),0)</f>
      </c>
      <c r="M718" s="20">
        <f>IF($L718=0,"",$B718&amp;"|"&amp;$L718)</f>
      </c>
    </row>
    <row r="719" spans="1:13" x14ac:dyDescent="0.25">
      <c r="A719" s="24"/>
      <c r="B719" s="9"/>
      <c r="C719" s="20">
        <f>IF($B719="","",IFERROR(INDEX(Parc!$B$2:$B$301,MATCH($B719,Parc!$A$2:$A$301,0)),"Réf. inconnue"))</f>
      </c>
      <c r="D719" s="9"/>
      <c r="E719" s="9"/>
      <c r="F719" s="9"/>
      <c r="G719" s="9"/>
      <c r="H719" s="9"/>
      <c r="I719" s="24"/>
      <c r="J719" s="9"/>
      <c r="K719" s="9"/>
      <c r="L719" s="20">
        <f>IF(AND(ISNUMBER($A719),$B719&lt;&gt;"",$D719&lt;&gt;"Examen partiel (ne relance pas)"),IF($A719&lt;=TODAY(),$A719,0),0)</f>
      </c>
      <c r="M719" s="20">
        <f>IF($L719=0,"",$B719&amp;"|"&amp;$L719)</f>
      </c>
    </row>
    <row r="720" spans="1:13" x14ac:dyDescent="0.25">
      <c r="A720" s="24"/>
      <c r="B720" s="9"/>
      <c r="C720" s="20">
        <f>IF($B720="","",IFERROR(INDEX(Parc!$B$2:$B$301,MATCH($B720,Parc!$A$2:$A$301,0)),"Réf. inconnue"))</f>
      </c>
      <c r="D720" s="9"/>
      <c r="E720" s="9"/>
      <c r="F720" s="9"/>
      <c r="G720" s="9"/>
      <c r="H720" s="9"/>
      <c r="I720" s="24"/>
      <c r="J720" s="9"/>
      <c r="K720" s="9"/>
      <c r="L720" s="20">
        <f>IF(AND(ISNUMBER($A720),$B720&lt;&gt;"",$D720&lt;&gt;"Examen partiel (ne relance pas)"),IF($A720&lt;=TODAY(),$A720,0),0)</f>
      </c>
      <c r="M720" s="20">
        <f>IF($L720=0,"",$B720&amp;"|"&amp;$L720)</f>
      </c>
    </row>
    <row r="721" spans="1:13" x14ac:dyDescent="0.25">
      <c r="A721" s="24"/>
      <c r="B721" s="9"/>
      <c r="C721" s="20">
        <f>IF($B721="","",IFERROR(INDEX(Parc!$B$2:$B$301,MATCH($B721,Parc!$A$2:$A$301,0)),"Réf. inconnue"))</f>
      </c>
      <c r="D721" s="9"/>
      <c r="E721" s="9"/>
      <c r="F721" s="9"/>
      <c r="G721" s="9"/>
      <c r="H721" s="9"/>
      <c r="I721" s="24"/>
      <c r="J721" s="9"/>
      <c r="K721" s="9"/>
      <c r="L721" s="20">
        <f>IF(AND(ISNUMBER($A721),$B721&lt;&gt;"",$D721&lt;&gt;"Examen partiel (ne relance pas)"),IF($A721&lt;=TODAY(),$A721,0),0)</f>
      </c>
      <c r="M721" s="20">
        <f>IF($L721=0,"",$B721&amp;"|"&amp;$L721)</f>
      </c>
    </row>
    <row r="722" spans="1:13" x14ac:dyDescent="0.25">
      <c r="A722" s="24"/>
      <c r="B722" s="9"/>
      <c r="C722" s="20">
        <f>IF($B722="","",IFERROR(INDEX(Parc!$B$2:$B$301,MATCH($B722,Parc!$A$2:$A$301,0)),"Réf. inconnue"))</f>
      </c>
      <c r="D722" s="9"/>
      <c r="E722" s="9"/>
      <c r="F722" s="9"/>
      <c r="G722" s="9"/>
      <c r="H722" s="9"/>
      <c r="I722" s="24"/>
      <c r="J722" s="9"/>
      <c r="K722" s="9"/>
      <c r="L722" s="20">
        <f>IF(AND(ISNUMBER($A722),$B722&lt;&gt;"",$D722&lt;&gt;"Examen partiel (ne relance pas)"),IF($A722&lt;=TODAY(),$A722,0),0)</f>
      </c>
      <c r="M722" s="20">
        <f>IF($L722=0,"",$B722&amp;"|"&amp;$L722)</f>
      </c>
    </row>
    <row r="723" spans="1:13" x14ac:dyDescent="0.25">
      <c r="A723" s="24"/>
      <c r="B723" s="9"/>
      <c r="C723" s="20">
        <f>IF($B723="","",IFERROR(INDEX(Parc!$B$2:$B$301,MATCH($B723,Parc!$A$2:$A$301,0)),"Réf. inconnue"))</f>
      </c>
      <c r="D723" s="9"/>
      <c r="E723" s="9"/>
      <c r="F723" s="9"/>
      <c r="G723" s="9"/>
      <c r="H723" s="9"/>
      <c r="I723" s="24"/>
      <c r="J723" s="9"/>
      <c r="K723" s="9"/>
      <c r="L723" s="20">
        <f>IF(AND(ISNUMBER($A723),$B723&lt;&gt;"",$D723&lt;&gt;"Examen partiel (ne relance pas)"),IF($A723&lt;=TODAY(),$A723,0),0)</f>
      </c>
      <c r="M723" s="20">
        <f>IF($L723=0,"",$B723&amp;"|"&amp;$L723)</f>
      </c>
    </row>
    <row r="724" spans="1:13" x14ac:dyDescent="0.25">
      <c r="A724" s="24"/>
      <c r="B724" s="9"/>
      <c r="C724" s="20">
        <f>IF($B724="","",IFERROR(INDEX(Parc!$B$2:$B$301,MATCH($B724,Parc!$A$2:$A$301,0)),"Réf. inconnue"))</f>
      </c>
      <c r="D724" s="9"/>
      <c r="E724" s="9"/>
      <c r="F724" s="9"/>
      <c r="G724" s="9"/>
      <c r="H724" s="9"/>
      <c r="I724" s="24"/>
      <c r="J724" s="9"/>
      <c r="K724" s="9"/>
      <c r="L724" s="20">
        <f>IF(AND(ISNUMBER($A724),$B724&lt;&gt;"",$D724&lt;&gt;"Examen partiel (ne relance pas)"),IF($A724&lt;=TODAY(),$A724,0),0)</f>
      </c>
      <c r="M724" s="20">
        <f>IF($L724=0,"",$B724&amp;"|"&amp;$L724)</f>
      </c>
    </row>
    <row r="725" spans="1:13" x14ac:dyDescent="0.25">
      <c r="A725" s="24"/>
      <c r="B725" s="9"/>
      <c r="C725" s="20">
        <f>IF($B725="","",IFERROR(INDEX(Parc!$B$2:$B$301,MATCH($B725,Parc!$A$2:$A$301,0)),"Réf. inconnue"))</f>
      </c>
      <c r="D725" s="9"/>
      <c r="E725" s="9"/>
      <c r="F725" s="9"/>
      <c r="G725" s="9"/>
      <c r="H725" s="9"/>
      <c r="I725" s="24"/>
      <c r="J725" s="9"/>
      <c r="K725" s="9"/>
      <c r="L725" s="20">
        <f>IF(AND(ISNUMBER($A725),$B725&lt;&gt;"",$D725&lt;&gt;"Examen partiel (ne relance pas)"),IF($A725&lt;=TODAY(),$A725,0),0)</f>
      </c>
      <c r="M725" s="20">
        <f>IF($L725=0,"",$B725&amp;"|"&amp;$L725)</f>
      </c>
    </row>
    <row r="726" spans="1:13" x14ac:dyDescent="0.25">
      <c r="A726" s="24"/>
      <c r="B726" s="9"/>
      <c r="C726" s="20">
        <f>IF($B726="","",IFERROR(INDEX(Parc!$B$2:$B$301,MATCH($B726,Parc!$A$2:$A$301,0)),"Réf. inconnue"))</f>
      </c>
      <c r="D726" s="9"/>
      <c r="E726" s="9"/>
      <c r="F726" s="9"/>
      <c r="G726" s="9"/>
      <c r="H726" s="9"/>
      <c r="I726" s="24"/>
      <c r="J726" s="9"/>
      <c r="K726" s="9"/>
      <c r="L726" s="20">
        <f>IF(AND(ISNUMBER($A726),$B726&lt;&gt;"",$D726&lt;&gt;"Examen partiel (ne relance pas)"),IF($A726&lt;=TODAY(),$A726,0),0)</f>
      </c>
      <c r="M726" s="20">
        <f>IF($L726=0,"",$B726&amp;"|"&amp;$L726)</f>
      </c>
    </row>
    <row r="727" spans="1:13" x14ac:dyDescent="0.25">
      <c r="A727" s="24"/>
      <c r="B727" s="9"/>
      <c r="C727" s="20">
        <f>IF($B727="","",IFERROR(INDEX(Parc!$B$2:$B$301,MATCH($B727,Parc!$A$2:$A$301,0)),"Réf. inconnue"))</f>
      </c>
      <c r="D727" s="9"/>
      <c r="E727" s="9"/>
      <c r="F727" s="9"/>
      <c r="G727" s="9"/>
      <c r="H727" s="9"/>
      <c r="I727" s="24"/>
      <c r="J727" s="9"/>
      <c r="K727" s="9"/>
      <c r="L727" s="20">
        <f>IF(AND(ISNUMBER($A727),$B727&lt;&gt;"",$D727&lt;&gt;"Examen partiel (ne relance pas)"),IF($A727&lt;=TODAY(),$A727,0),0)</f>
      </c>
      <c r="M727" s="20">
        <f>IF($L727=0,"",$B727&amp;"|"&amp;$L727)</f>
      </c>
    </row>
    <row r="728" spans="1:13" x14ac:dyDescent="0.25">
      <c r="A728" s="24"/>
      <c r="B728" s="9"/>
      <c r="C728" s="20">
        <f>IF($B728="","",IFERROR(INDEX(Parc!$B$2:$B$301,MATCH($B728,Parc!$A$2:$A$301,0)),"Réf. inconnue"))</f>
      </c>
      <c r="D728" s="9"/>
      <c r="E728" s="9"/>
      <c r="F728" s="9"/>
      <c r="G728" s="9"/>
      <c r="H728" s="9"/>
      <c r="I728" s="24"/>
      <c r="J728" s="9"/>
      <c r="K728" s="9"/>
      <c r="L728" s="20">
        <f>IF(AND(ISNUMBER($A728),$B728&lt;&gt;"",$D728&lt;&gt;"Examen partiel (ne relance pas)"),IF($A728&lt;=TODAY(),$A728,0),0)</f>
      </c>
      <c r="M728" s="20">
        <f>IF($L728=0,"",$B728&amp;"|"&amp;$L728)</f>
      </c>
    </row>
    <row r="729" spans="1:13" x14ac:dyDescent="0.25">
      <c r="A729" s="24"/>
      <c r="B729" s="9"/>
      <c r="C729" s="20">
        <f>IF($B729="","",IFERROR(INDEX(Parc!$B$2:$B$301,MATCH($B729,Parc!$A$2:$A$301,0)),"Réf. inconnue"))</f>
      </c>
      <c r="D729" s="9"/>
      <c r="E729" s="9"/>
      <c r="F729" s="9"/>
      <c r="G729" s="9"/>
      <c r="H729" s="9"/>
      <c r="I729" s="24"/>
      <c r="J729" s="9"/>
      <c r="K729" s="9"/>
      <c r="L729" s="20">
        <f>IF(AND(ISNUMBER($A729),$B729&lt;&gt;"",$D729&lt;&gt;"Examen partiel (ne relance pas)"),IF($A729&lt;=TODAY(),$A729,0),0)</f>
      </c>
      <c r="M729" s="20">
        <f>IF($L729=0,"",$B729&amp;"|"&amp;$L729)</f>
      </c>
    </row>
    <row r="730" spans="1:13" x14ac:dyDescent="0.25">
      <c r="A730" s="24"/>
      <c r="B730" s="9"/>
      <c r="C730" s="20">
        <f>IF($B730="","",IFERROR(INDEX(Parc!$B$2:$B$301,MATCH($B730,Parc!$A$2:$A$301,0)),"Réf. inconnue"))</f>
      </c>
      <c r="D730" s="9"/>
      <c r="E730" s="9"/>
      <c r="F730" s="9"/>
      <c r="G730" s="9"/>
      <c r="H730" s="9"/>
      <c r="I730" s="24"/>
      <c r="J730" s="9"/>
      <c r="K730" s="9"/>
      <c r="L730" s="20">
        <f>IF(AND(ISNUMBER($A730),$B730&lt;&gt;"",$D730&lt;&gt;"Examen partiel (ne relance pas)"),IF($A730&lt;=TODAY(),$A730,0),0)</f>
      </c>
      <c r="M730" s="20">
        <f>IF($L730=0,"",$B730&amp;"|"&amp;$L730)</f>
      </c>
    </row>
    <row r="731" spans="1:13" x14ac:dyDescent="0.25">
      <c r="A731" s="24"/>
      <c r="B731" s="9"/>
      <c r="C731" s="20">
        <f>IF($B731="","",IFERROR(INDEX(Parc!$B$2:$B$301,MATCH($B731,Parc!$A$2:$A$301,0)),"Réf. inconnue"))</f>
      </c>
      <c r="D731" s="9"/>
      <c r="E731" s="9"/>
      <c r="F731" s="9"/>
      <c r="G731" s="9"/>
      <c r="H731" s="9"/>
      <c r="I731" s="24"/>
      <c r="J731" s="9"/>
      <c r="K731" s="9"/>
      <c r="L731" s="20">
        <f>IF(AND(ISNUMBER($A731),$B731&lt;&gt;"",$D731&lt;&gt;"Examen partiel (ne relance pas)"),IF($A731&lt;=TODAY(),$A731,0),0)</f>
      </c>
      <c r="M731" s="20">
        <f>IF($L731=0,"",$B731&amp;"|"&amp;$L731)</f>
      </c>
    </row>
    <row r="732" spans="1:13" x14ac:dyDescent="0.25">
      <c r="A732" s="24"/>
      <c r="B732" s="9"/>
      <c r="C732" s="20">
        <f>IF($B732="","",IFERROR(INDEX(Parc!$B$2:$B$301,MATCH($B732,Parc!$A$2:$A$301,0)),"Réf. inconnue"))</f>
      </c>
      <c r="D732" s="9"/>
      <c r="E732" s="9"/>
      <c r="F732" s="9"/>
      <c r="G732" s="9"/>
      <c r="H732" s="9"/>
      <c r="I732" s="24"/>
      <c r="J732" s="9"/>
      <c r="K732" s="9"/>
      <c r="L732" s="20">
        <f>IF(AND(ISNUMBER($A732),$B732&lt;&gt;"",$D732&lt;&gt;"Examen partiel (ne relance pas)"),IF($A732&lt;=TODAY(),$A732,0),0)</f>
      </c>
      <c r="M732" s="20">
        <f>IF($L732=0,"",$B732&amp;"|"&amp;$L732)</f>
      </c>
    </row>
    <row r="733" spans="1:13" x14ac:dyDescent="0.25">
      <c r="A733" s="24"/>
      <c r="B733" s="9"/>
      <c r="C733" s="20">
        <f>IF($B733="","",IFERROR(INDEX(Parc!$B$2:$B$301,MATCH($B733,Parc!$A$2:$A$301,0)),"Réf. inconnue"))</f>
      </c>
      <c r="D733" s="9"/>
      <c r="E733" s="9"/>
      <c r="F733" s="9"/>
      <c r="G733" s="9"/>
      <c r="H733" s="9"/>
      <c r="I733" s="24"/>
      <c r="J733" s="9"/>
      <c r="K733" s="9"/>
      <c r="L733" s="20">
        <f>IF(AND(ISNUMBER($A733),$B733&lt;&gt;"",$D733&lt;&gt;"Examen partiel (ne relance pas)"),IF($A733&lt;=TODAY(),$A733,0),0)</f>
      </c>
      <c r="M733" s="20">
        <f>IF($L733=0,"",$B733&amp;"|"&amp;$L733)</f>
      </c>
    </row>
    <row r="734" spans="1:13" x14ac:dyDescent="0.25">
      <c r="A734" s="24"/>
      <c r="B734" s="9"/>
      <c r="C734" s="20">
        <f>IF($B734="","",IFERROR(INDEX(Parc!$B$2:$B$301,MATCH($B734,Parc!$A$2:$A$301,0)),"Réf. inconnue"))</f>
      </c>
      <c r="D734" s="9"/>
      <c r="E734" s="9"/>
      <c r="F734" s="9"/>
      <c r="G734" s="9"/>
      <c r="H734" s="9"/>
      <c r="I734" s="24"/>
      <c r="J734" s="9"/>
      <c r="K734" s="9"/>
      <c r="L734" s="20">
        <f>IF(AND(ISNUMBER($A734),$B734&lt;&gt;"",$D734&lt;&gt;"Examen partiel (ne relance pas)"),IF($A734&lt;=TODAY(),$A734,0),0)</f>
      </c>
      <c r="M734" s="20">
        <f>IF($L734=0,"",$B734&amp;"|"&amp;$L734)</f>
      </c>
    </row>
    <row r="735" spans="1:13" x14ac:dyDescent="0.25">
      <c r="A735" s="24"/>
      <c r="B735" s="9"/>
      <c r="C735" s="20">
        <f>IF($B735="","",IFERROR(INDEX(Parc!$B$2:$B$301,MATCH($B735,Parc!$A$2:$A$301,0)),"Réf. inconnue"))</f>
      </c>
      <c r="D735" s="9"/>
      <c r="E735" s="9"/>
      <c r="F735" s="9"/>
      <c r="G735" s="9"/>
      <c r="H735" s="9"/>
      <c r="I735" s="24"/>
      <c r="J735" s="9"/>
      <c r="K735" s="9"/>
      <c r="L735" s="20">
        <f>IF(AND(ISNUMBER($A735),$B735&lt;&gt;"",$D735&lt;&gt;"Examen partiel (ne relance pas)"),IF($A735&lt;=TODAY(),$A735,0),0)</f>
      </c>
      <c r="M735" s="20">
        <f>IF($L735=0,"",$B735&amp;"|"&amp;$L735)</f>
      </c>
    </row>
    <row r="736" spans="1:13" x14ac:dyDescent="0.25">
      <c r="A736" s="24"/>
      <c r="B736" s="9"/>
      <c r="C736" s="20">
        <f>IF($B736="","",IFERROR(INDEX(Parc!$B$2:$B$301,MATCH($B736,Parc!$A$2:$A$301,0)),"Réf. inconnue"))</f>
      </c>
      <c r="D736" s="9"/>
      <c r="E736" s="9"/>
      <c r="F736" s="9"/>
      <c r="G736" s="9"/>
      <c r="H736" s="9"/>
      <c r="I736" s="24"/>
      <c r="J736" s="9"/>
      <c r="K736" s="9"/>
      <c r="L736" s="20">
        <f>IF(AND(ISNUMBER($A736),$B736&lt;&gt;"",$D736&lt;&gt;"Examen partiel (ne relance pas)"),IF($A736&lt;=TODAY(),$A736,0),0)</f>
      </c>
      <c r="M736" s="20">
        <f>IF($L736=0,"",$B736&amp;"|"&amp;$L736)</f>
      </c>
    </row>
    <row r="737" spans="1:13" x14ac:dyDescent="0.25">
      <c r="A737" s="24"/>
      <c r="B737" s="9"/>
      <c r="C737" s="20">
        <f>IF($B737="","",IFERROR(INDEX(Parc!$B$2:$B$301,MATCH($B737,Parc!$A$2:$A$301,0)),"Réf. inconnue"))</f>
      </c>
      <c r="D737" s="9"/>
      <c r="E737" s="9"/>
      <c r="F737" s="9"/>
      <c r="G737" s="9"/>
      <c r="H737" s="9"/>
      <c r="I737" s="24"/>
      <c r="J737" s="9"/>
      <c r="K737" s="9"/>
      <c r="L737" s="20">
        <f>IF(AND(ISNUMBER($A737),$B737&lt;&gt;"",$D737&lt;&gt;"Examen partiel (ne relance pas)"),IF($A737&lt;=TODAY(),$A737,0),0)</f>
      </c>
      <c r="M737" s="20">
        <f>IF($L737=0,"",$B737&amp;"|"&amp;$L737)</f>
      </c>
    </row>
    <row r="738" spans="1:13" x14ac:dyDescent="0.25">
      <c r="A738" s="24"/>
      <c r="B738" s="9"/>
      <c r="C738" s="20">
        <f>IF($B738="","",IFERROR(INDEX(Parc!$B$2:$B$301,MATCH($B738,Parc!$A$2:$A$301,0)),"Réf. inconnue"))</f>
      </c>
      <c r="D738" s="9"/>
      <c r="E738" s="9"/>
      <c r="F738" s="9"/>
      <c r="G738" s="9"/>
      <c r="H738" s="9"/>
      <c r="I738" s="24"/>
      <c r="J738" s="9"/>
      <c r="K738" s="9"/>
      <c r="L738" s="20">
        <f>IF(AND(ISNUMBER($A738),$B738&lt;&gt;"",$D738&lt;&gt;"Examen partiel (ne relance pas)"),IF($A738&lt;=TODAY(),$A738,0),0)</f>
      </c>
      <c r="M738" s="20">
        <f>IF($L738=0,"",$B738&amp;"|"&amp;$L738)</f>
      </c>
    </row>
    <row r="739" spans="1:13" x14ac:dyDescent="0.25">
      <c r="A739" s="24"/>
      <c r="B739" s="9"/>
      <c r="C739" s="20">
        <f>IF($B739="","",IFERROR(INDEX(Parc!$B$2:$B$301,MATCH($B739,Parc!$A$2:$A$301,0)),"Réf. inconnue"))</f>
      </c>
      <c r="D739" s="9"/>
      <c r="E739" s="9"/>
      <c r="F739" s="9"/>
      <c r="G739" s="9"/>
      <c r="H739" s="9"/>
      <c r="I739" s="24"/>
      <c r="J739" s="9"/>
      <c r="K739" s="9"/>
      <c r="L739" s="20">
        <f>IF(AND(ISNUMBER($A739),$B739&lt;&gt;"",$D739&lt;&gt;"Examen partiel (ne relance pas)"),IF($A739&lt;=TODAY(),$A739,0),0)</f>
      </c>
      <c r="M739" s="20">
        <f>IF($L739=0,"",$B739&amp;"|"&amp;$L739)</f>
      </c>
    </row>
    <row r="740" spans="1:13" x14ac:dyDescent="0.25">
      <c r="A740" s="24"/>
      <c r="B740" s="9"/>
      <c r="C740" s="20">
        <f>IF($B740="","",IFERROR(INDEX(Parc!$B$2:$B$301,MATCH($B740,Parc!$A$2:$A$301,0)),"Réf. inconnue"))</f>
      </c>
      <c r="D740" s="9"/>
      <c r="E740" s="9"/>
      <c r="F740" s="9"/>
      <c r="G740" s="9"/>
      <c r="H740" s="9"/>
      <c r="I740" s="24"/>
      <c r="J740" s="9"/>
      <c r="K740" s="9"/>
      <c r="L740" s="20">
        <f>IF(AND(ISNUMBER($A740),$B740&lt;&gt;"",$D740&lt;&gt;"Examen partiel (ne relance pas)"),IF($A740&lt;=TODAY(),$A740,0),0)</f>
      </c>
      <c r="M740" s="20">
        <f>IF($L740=0,"",$B740&amp;"|"&amp;$L740)</f>
      </c>
    </row>
    <row r="741" spans="1:13" x14ac:dyDescent="0.25">
      <c r="A741" s="24"/>
      <c r="B741" s="9"/>
      <c r="C741" s="20">
        <f>IF($B741="","",IFERROR(INDEX(Parc!$B$2:$B$301,MATCH($B741,Parc!$A$2:$A$301,0)),"Réf. inconnue"))</f>
      </c>
      <c r="D741" s="9"/>
      <c r="E741" s="9"/>
      <c r="F741" s="9"/>
      <c r="G741" s="9"/>
      <c r="H741" s="9"/>
      <c r="I741" s="24"/>
      <c r="J741" s="9"/>
      <c r="K741" s="9"/>
      <c r="L741" s="20">
        <f>IF(AND(ISNUMBER($A741),$B741&lt;&gt;"",$D741&lt;&gt;"Examen partiel (ne relance pas)"),IF($A741&lt;=TODAY(),$A741,0),0)</f>
      </c>
      <c r="M741" s="20">
        <f>IF($L741=0,"",$B741&amp;"|"&amp;$L741)</f>
      </c>
    </row>
    <row r="742" spans="1:13" x14ac:dyDescent="0.25">
      <c r="A742" s="24"/>
      <c r="B742" s="9"/>
      <c r="C742" s="20">
        <f>IF($B742="","",IFERROR(INDEX(Parc!$B$2:$B$301,MATCH($B742,Parc!$A$2:$A$301,0)),"Réf. inconnue"))</f>
      </c>
      <c r="D742" s="9"/>
      <c r="E742" s="9"/>
      <c r="F742" s="9"/>
      <c r="G742" s="9"/>
      <c r="H742" s="9"/>
      <c r="I742" s="24"/>
      <c r="J742" s="9"/>
      <c r="K742" s="9"/>
      <c r="L742" s="20">
        <f>IF(AND(ISNUMBER($A742),$B742&lt;&gt;"",$D742&lt;&gt;"Examen partiel (ne relance pas)"),IF($A742&lt;=TODAY(),$A742,0),0)</f>
      </c>
      <c r="M742" s="20">
        <f>IF($L742=0,"",$B742&amp;"|"&amp;$L742)</f>
      </c>
    </row>
    <row r="743" spans="1:13" x14ac:dyDescent="0.25">
      <c r="A743" s="24"/>
      <c r="B743" s="9"/>
      <c r="C743" s="20">
        <f>IF($B743="","",IFERROR(INDEX(Parc!$B$2:$B$301,MATCH($B743,Parc!$A$2:$A$301,0)),"Réf. inconnue"))</f>
      </c>
      <c r="D743" s="9"/>
      <c r="E743" s="9"/>
      <c r="F743" s="9"/>
      <c r="G743" s="9"/>
      <c r="H743" s="9"/>
      <c r="I743" s="24"/>
      <c r="J743" s="9"/>
      <c r="K743" s="9"/>
      <c r="L743" s="20">
        <f>IF(AND(ISNUMBER($A743),$B743&lt;&gt;"",$D743&lt;&gt;"Examen partiel (ne relance pas)"),IF($A743&lt;=TODAY(),$A743,0),0)</f>
      </c>
      <c r="M743" s="20">
        <f>IF($L743=0,"",$B743&amp;"|"&amp;$L743)</f>
      </c>
    </row>
    <row r="744" spans="1:13" x14ac:dyDescent="0.25">
      <c r="A744" s="24"/>
      <c r="B744" s="9"/>
      <c r="C744" s="20">
        <f>IF($B744="","",IFERROR(INDEX(Parc!$B$2:$B$301,MATCH($B744,Parc!$A$2:$A$301,0)),"Réf. inconnue"))</f>
      </c>
      <c r="D744" s="9"/>
      <c r="E744" s="9"/>
      <c r="F744" s="9"/>
      <c r="G744" s="9"/>
      <c r="H744" s="9"/>
      <c r="I744" s="24"/>
      <c r="J744" s="9"/>
      <c r="K744" s="9"/>
      <c r="L744" s="20">
        <f>IF(AND(ISNUMBER($A744),$B744&lt;&gt;"",$D744&lt;&gt;"Examen partiel (ne relance pas)"),IF($A744&lt;=TODAY(),$A744,0),0)</f>
      </c>
      <c r="M744" s="20">
        <f>IF($L744=0,"",$B744&amp;"|"&amp;$L744)</f>
      </c>
    </row>
    <row r="745" spans="1:13" x14ac:dyDescent="0.25">
      <c r="A745" s="24"/>
      <c r="B745" s="9"/>
      <c r="C745" s="20">
        <f>IF($B745="","",IFERROR(INDEX(Parc!$B$2:$B$301,MATCH($B745,Parc!$A$2:$A$301,0)),"Réf. inconnue"))</f>
      </c>
      <c r="D745" s="9"/>
      <c r="E745" s="9"/>
      <c r="F745" s="9"/>
      <c r="G745" s="9"/>
      <c r="H745" s="9"/>
      <c r="I745" s="24"/>
      <c r="J745" s="9"/>
      <c r="K745" s="9"/>
      <c r="L745" s="20">
        <f>IF(AND(ISNUMBER($A745),$B745&lt;&gt;"",$D745&lt;&gt;"Examen partiel (ne relance pas)"),IF($A745&lt;=TODAY(),$A745,0),0)</f>
      </c>
      <c r="M745" s="20">
        <f>IF($L745=0,"",$B745&amp;"|"&amp;$L745)</f>
      </c>
    </row>
    <row r="746" spans="1:13" x14ac:dyDescent="0.25">
      <c r="A746" s="24"/>
      <c r="B746" s="9"/>
      <c r="C746" s="20">
        <f>IF($B746="","",IFERROR(INDEX(Parc!$B$2:$B$301,MATCH($B746,Parc!$A$2:$A$301,0)),"Réf. inconnue"))</f>
      </c>
      <c r="D746" s="9"/>
      <c r="E746" s="9"/>
      <c r="F746" s="9"/>
      <c r="G746" s="9"/>
      <c r="H746" s="9"/>
      <c r="I746" s="24"/>
      <c r="J746" s="9"/>
      <c r="K746" s="9"/>
      <c r="L746" s="20">
        <f>IF(AND(ISNUMBER($A746),$B746&lt;&gt;"",$D746&lt;&gt;"Examen partiel (ne relance pas)"),IF($A746&lt;=TODAY(),$A746,0),0)</f>
      </c>
      <c r="M746" s="20">
        <f>IF($L746=0,"",$B746&amp;"|"&amp;$L746)</f>
      </c>
    </row>
    <row r="747" spans="1:13" x14ac:dyDescent="0.25">
      <c r="A747" s="24"/>
      <c r="B747" s="9"/>
      <c r="C747" s="20">
        <f>IF($B747="","",IFERROR(INDEX(Parc!$B$2:$B$301,MATCH($B747,Parc!$A$2:$A$301,0)),"Réf. inconnue"))</f>
      </c>
      <c r="D747" s="9"/>
      <c r="E747" s="9"/>
      <c r="F747" s="9"/>
      <c r="G747" s="9"/>
      <c r="H747" s="9"/>
      <c r="I747" s="24"/>
      <c r="J747" s="9"/>
      <c r="K747" s="9"/>
      <c r="L747" s="20">
        <f>IF(AND(ISNUMBER($A747),$B747&lt;&gt;"",$D747&lt;&gt;"Examen partiel (ne relance pas)"),IF($A747&lt;=TODAY(),$A747,0),0)</f>
      </c>
      <c r="M747" s="20">
        <f>IF($L747=0,"",$B747&amp;"|"&amp;$L747)</f>
      </c>
    </row>
    <row r="748" spans="1:13" x14ac:dyDescent="0.25">
      <c r="A748" s="24"/>
      <c r="B748" s="9"/>
      <c r="C748" s="20">
        <f>IF($B748="","",IFERROR(INDEX(Parc!$B$2:$B$301,MATCH($B748,Parc!$A$2:$A$301,0)),"Réf. inconnue"))</f>
      </c>
      <c r="D748" s="9"/>
      <c r="E748" s="9"/>
      <c r="F748" s="9"/>
      <c r="G748" s="9"/>
      <c r="H748" s="9"/>
      <c r="I748" s="24"/>
      <c r="J748" s="9"/>
      <c r="K748" s="9"/>
      <c r="L748" s="20">
        <f>IF(AND(ISNUMBER($A748),$B748&lt;&gt;"",$D748&lt;&gt;"Examen partiel (ne relance pas)"),IF($A748&lt;=TODAY(),$A748,0),0)</f>
      </c>
      <c r="M748" s="20">
        <f>IF($L748=0,"",$B748&amp;"|"&amp;$L748)</f>
      </c>
    </row>
    <row r="749" spans="1:13" x14ac:dyDescent="0.25">
      <c r="A749" s="24"/>
      <c r="B749" s="9"/>
      <c r="C749" s="20">
        <f>IF($B749="","",IFERROR(INDEX(Parc!$B$2:$B$301,MATCH($B749,Parc!$A$2:$A$301,0)),"Réf. inconnue"))</f>
      </c>
      <c r="D749" s="9"/>
      <c r="E749" s="9"/>
      <c r="F749" s="9"/>
      <c r="G749" s="9"/>
      <c r="H749" s="9"/>
      <c r="I749" s="24"/>
      <c r="J749" s="9"/>
      <c r="K749" s="9"/>
      <c r="L749" s="20">
        <f>IF(AND(ISNUMBER($A749),$B749&lt;&gt;"",$D749&lt;&gt;"Examen partiel (ne relance pas)"),IF($A749&lt;=TODAY(),$A749,0),0)</f>
      </c>
      <c r="M749" s="20">
        <f>IF($L749=0,"",$B749&amp;"|"&amp;$L749)</f>
      </c>
    </row>
    <row r="750" spans="1:13" x14ac:dyDescent="0.25">
      <c r="A750" s="24"/>
      <c r="B750" s="9"/>
      <c r="C750" s="20">
        <f>IF($B750="","",IFERROR(INDEX(Parc!$B$2:$B$301,MATCH($B750,Parc!$A$2:$A$301,0)),"Réf. inconnue"))</f>
      </c>
      <c r="D750" s="9"/>
      <c r="E750" s="9"/>
      <c r="F750" s="9"/>
      <c r="G750" s="9"/>
      <c r="H750" s="9"/>
      <c r="I750" s="24"/>
      <c r="J750" s="9"/>
      <c r="K750" s="9"/>
      <c r="L750" s="20">
        <f>IF(AND(ISNUMBER($A750),$B750&lt;&gt;"",$D750&lt;&gt;"Examen partiel (ne relance pas)"),IF($A750&lt;=TODAY(),$A750,0),0)</f>
      </c>
      <c r="M750" s="20">
        <f>IF($L750=0,"",$B750&amp;"|"&amp;$L750)</f>
      </c>
    </row>
    <row r="751" spans="1:13" x14ac:dyDescent="0.25">
      <c r="A751" s="24"/>
      <c r="B751" s="9"/>
      <c r="C751" s="20">
        <f>IF($B751="","",IFERROR(INDEX(Parc!$B$2:$B$301,MATCH($B751,Parc!$A$2:$A$301,0)),"Réf. inconnue"))</f>
      </c>
      <c r="D751" s="9"/>
      <c r="E751" s="9"/>
      <c r="F751" s="9"/>
      <c r="G751" s="9"/>
      <c r="H751" s="9"/>
      <c r="I751" s="24"/>
      <c r="J751" s="9"/>
      <c r="K751" s="9"/>
      <c r="L751" s="20">
        <f>IF(AND(ISNUMBER($A751),$B751&lt;&gt;"",$D751&lt;&gt;"Examen partiel (ne relance pas)"),IF($A751&lt;=TODAY(),$A751,0),0)</f>
      </c>
      <c r="M751" s="20">
        <f>IF($L751=0,"",$B751&amp;"|"&amp;$L751)</f>
      </c>
    </row>
    <row r="752" spans="1:13" x14ac:dyDescent="0.25">
      <c r="A752" s="24"/>
      <c r="B752" s="9"/>
      <c r="C752" s="20">
        <f>IF($B752="","",IFERROR(INDEX(Parc!$B$2:$B$301,MATCH($B752,Parc!$A$2:$A$301,0)),"Réf. inconnue"))</f>
      </c>
      <c r="D752" s="9"/>
      <c r="E752" s="9"/>
      <c r="F752" s="9"/>
      <c r="G752" s="9"/>
      <c r="H752" s="9"/>
      <c r="I752" s="24"/>
      <c r="J752" s="9"/>
      <c r="K752" s="9"/>
      <c r="L752" s="20">
        <f>IF(AND(ISNUMBER($A752),$B752&lt;&gt;"",$D752&lt;&gt;"Examen partiel (ne relance pas)"),IF($A752&lt;=TODAY(),$A752,0),0)</f>
      </c>
      <c r="M752" s="20">
        <f>IF($L752=0,"",$B752&amp;"|"&amp;$L752)</f>
      </c>
    </row>
    <row r="753" spans="1:13" x14ac:dyDescent="0.25">
      <c r="A753" s="24"/>
      <c r="B753" s="9"/>
      <c r="C753" s="20">
        <f>IF($B753="","",IFERROR(INDEX(Parc!$B$2:$B$301,MATCH($B753,Parc!$A$2:$A$301,0)),"Réf. inconnue"))</f>
      </c>
      <c r="D753" s="9"/>
      <c r="E753" s="9"/>
      <c r="F753" s="9"/>
      <c r="G753" s="9"/>
      <c r="H753" s="9"/>
      <c r="I753" s="24"/>
      <c r="J753" s="9"/>
      <c r="K753" s="9"/>
      <c r="L753" s="20">
        <f>IF(AND(ISNUMBER($A753),$B753&lt;&gt;"",$D753&lt;&gt;"Examen partiel (ne relance pas)"),IF($A753&lt;=TODAY(),$A753,0),0)</f>
      </c>
      <c r="M753" s="20">
        <f>IF($L753=0,"",$B753&amp;"|"&amp;$L753)</f>
      </c>
    </row>
    <row r="754" spans="1:13" x14ac:dyDescent="0.25">
      <c r="A754" s="24"/>
      <c r="B754" s="9"/>
      <c r="C754" s="20">
        <f>IF($B754="","",IFERROR(INDEX(Parc!$B$2:$B$301,MATCH($B754,Parc!$A$2:$A$301,0)),"Réf. inconnue"))</f>
      </c>
      <c r="D754" s="9"/>
      <c r="E754" s="9"/>
      <c r="F754" s="9"/>
      <c r="G754" s="9"/>
      <c r="H754" s="9"/>
      <c r="I754" s="24"/>
      <c r="J754" s="9"/>
      <c r="K754" s="9"/>
      <c r="L754" s="20">
        <f>IF(AND(ISNUMBER($A754),$B754&lt;&gt;"",$D754&lt;&gt;"Examen partiel (ne relance pas)"),IF($A754&lt;=TODAY(),$A754,0),0)</f>
      </c>
      <c r="M754" s="20">
        <f>IF($L754=0,"",$B754&amp;"|"&amp;$L754)</f>
      </c>
    </row>
    <row r="755" spans="1:13" x14ac:dyDescent="0.25">
      <c r="A755" s="24"/>
      <c r="B755" s="9"/>
      <c r="C755" s="20">
        <f>IF($B755="","",IFERROR(INDEX(Parc!$B$2:$B$301,MATCH($B755,Parc!$A$2:$A$301,0)),"Réf. inconnue"))</f>
      </c>
      <c r="D755" s="9"/>
      <c r="E755" s="9"/>
      <c r="F755" s="9"/>
      <c r="G755" s="9"/>
      <c r="H755" s="9"/>
      <c r="I755" s="24"/>
      <c r="J755" s="9"/>
      <c r="K755" s="9"/>
      <c r="L755" s="20">
        <f>IF(AND(ISNUMBER($A755),$B755&lt;&gt;"",$D755&lt;&gt;"Examen partiel (ne relance pas)"),IF($A755&lt;=TODAY(),$A755,0),0)</f>
      </c>
      <c r="M755" s="20">
        <f>IF($L755=0,"",$B755&amp;"|"&amp;$L755)</f>
      </c>
    </row>
    <row r="756" spans="1:13" x14ac:dyDescent="0.25">
      <c r="A756" s="24"/>
      <c r="B756" s="9"/>
      <c r="C756" s="20">
        <f>IF($B756="","",IFERROR(INDEX(Parc!$B$2:$B$301,MATCH($B756,Parc!$A$2:$A$301,0)),"Réf. inconnue"))</f>
      </c>
      <c r="D756" s="9"/>
      <c r="E756" s="9"/>
      <c r="F756" s="9"/>
      <c r="G756" s="9"/>
      <c r="H756" s="9"/>
      <c r="I756" s="24"/>
      <c r="J756" s="9"/>
      <c r="K756" s="9"/>
      <c r="L756" s="20">
        <f>IF(AND(ISNUMBER($A756),$B756&lt;&gt;"",$D756&lt;&gt;"Examen partiel (ne relance pas)"),IF($A756&lt;=TODAY(),$A756,0),0)</f>
      </c>
      <c r="M756" s="20">
        <f>IF($L756=0,"",$B756&amp;"|"&amp;$L756)</f>
      </c>
    </row>
    <row r="757" spans="1:13" x14ac:dyDescent="0.25">
      <c r="A757" s="24"/>
      <c r="B757" s="9"/>
      <c r="C757" s="20">
        <f>IF($B757="","",IFERROR(INDEX(Parc!$B$2:$B$301,MATCH($B757,Parc!$A$2:$A$301,0)),"Réf. inconnue"))</f>
      </c>
      <c r="D757" s="9"/>
      <c r="E757" s="9"/>
      <c r="F757" s="9"/>
      <c r="G757" s="9"/>
      <c r="H757" s="9"/>
      <c r="I757" s="24"/>
      <c r="J757" s="9"/>
      <c r="K757" s="9"/>
      <c r="L757" s="20">
        <f>IF(AND(ISNUMBER($A757),$B757&lt;&gt;"",$D757&lt;&gt;"Examen partiel (ne relance pas)"),IF($A757&lt;=TODAY(),$A757,0),0)</f>
      </c>
      <c r="M757" s="20">
        <f>IF($L757=0,"",$B757&amp;"|"&amp;$L757)</f>
      </c>
    </row>
    <row r="758" spans="1:13" x14ac:dyDescent="0.25">
      <c r="A758" s="24"/>
      <c r="B758" s="9"/>
      <c r="C758" s="20">
        <f>IF($B758="","",IFERROR(INDEX(Parc!$B$2:$B$301,MATCH($B758,Parc!$A$2:$A$301,0)),"Réf. inconnue"))</f>
      </c>
      <c r="D758" s="9"/>
      <c r="E758" s="9"/>
      <c r="F758" s="9"/>
      <c r="G758" s="9"/>
      <c r="H758" s="9"/>
      <c r="I758" s="24"/>
      <c r="J758" s="9"/>
      <c r="K758" s="9"/>
      <c r="L758" s="20">
        <f>IF(AND(ISNUMBER($A758),$B758&lt;&gt;"",$D758&lt;&gt;"Examen partiel (ne relance pas)"),IF($A758&lt;=TODAY(),$A758,0),0)</f>
      </c>
      <c r="M758" s="20">
        <f>IF($L758=0,"",$B758&amp;"|"&amp;$L758)</f>
      </c>
    </row>
    <row r="759" spans="1:13" x14ac:dyDescent="0.25">
      <c r="A759" s="24"/>
      <c r="B759" s="9"/>
      <c r="C759" s="20">
        <f>IF($B759="","",IFERROR(INDEX(Parc!$B$2:$B$301,MATCH($B759,Parc!$A$2:$A$301,0)),"Réf. inconnue"))</f>
      </c>
      <c r="D759" s="9"/>
      <c r="E759" s="9"/>
      <c r="F759" s="9"/>
      <c r="G759" s="9"/>
      <c r="H759" s="9"/>
      <c r="I759" s="24"/>
      <c r="J759" s="9"/>
      <c r="K759" s="9"/>
      <c r="L759" s="20">
        <f>IF(AND(ISNUMBER($A759),$B759&lt;&gt;"",$D759&lt;&gt;"Examen partiel (ne relance pas)"),IF($A759&lt;=TODAY(),$A759,0),0)</f>
      </c>
      <c r="M759" s="20">
        <f>IF($L759=0,"",$B759&amp;"|"&amp;$L759)</f>
      </c>
    </row>
    <row r="760" spans="1:13" x14ac:dyDescent="0.25">
      <c r="A760" s="24"/>
      <c r="B760" s="9"/>
      <c r="C760" s="20">
        <f>IF($B760="","",IFERROR(INDEX(Parc!$B$2:$B$301,MATCH($B760,Parc!$A$2:$A$301,0)),"Réf. inconnue"))</f>
      </c>
      <c r="D760" s="9"/>
      <c r="E760" s="9"/>
      <c r="F760" s="9"/>
      <c r="G760" s="9"/>
      <c r="H760" s="9"/>
      <c r="I760" s="24"/>
      <c r="J760" s="9"/>
      <c r="K760" s="9"/>
      <c r="L760" s="20">
        <f>IF(AND(ISNUMBER($A760),$B760&lt;&gt;"",$D760&lt;&gt;"Examen partiel (ne relance pas)"),IF($A760&lt;=TODAY(),$A760,0),0)</f>
      </c>
      <c r="M760" s="20">
        <f>IF($L760=0,"",$B760&amp;"|"&amp;$L760)</f>
      </c>
    </row>
    <row r="761" spans="1:13" x14ac:dyDescent="0.25">
      <c r="A761" s="24"/>
      <c r="B761" s="9"/>
      <c r="C761" s="20">
        <f>IF($B761="","",IFERROR(INDEX(Parc!$B$2:$B$301,MATCH($B761,Parc!$A$2:$A$301,0)),"Réf. inconnue"))</f>
      </c>
      <c r="D761" s="9"/>
      <c r="E761" s="9"/>
      <c r="F761" s="9"/>
      <c r="G761" s="9"/>
      <c r="H761" s="9"/>
      <c r="I761" s="24"/>
      <c r="J761" s="9"/>
      <c r="K761" s="9"/>
      <c r="L761" s="20">
        <f>IF(AND(ISNUMBER($A761),$B761&lt;&gt;"",$D761&lt;&gt;"Examen partiel (ne relance pas)"),IF($A761&lt;=TODAY(),$A761,0),0)</f>
      </c>
      <c r="M761" s="20">
        <f>IF($L761=0,"",$B761&amp;"|"&amp;$L761)</f>
      </c>
    </row>
    <row r="762" spans="1:13" x14ac:dyDescent="0.25">
      <c r="A762" s="24"/>
      <c r="B762" s="9"/>
      <c r="C762" s="20">
        <f>IF($B762="","",IFERROR(INDEX(Parc!$B$2:$B$301,MATCH($B762,Parc!$A$2:$A$301,0)),"Réf. inconnue"))</f>
      </c>
      <c r="D762" s="9"/>
      <c r="E762" s="9"/>
      <c r="F762" s="9"/>
      <c r="G762" s="9"/>
      <c r="H762" s="9"/>
      <c r="I762" s="24"/>
      <c r="J762" s="9"/>
      <c r="K762" s="9"/>
      <c r="L762" s="20">
        <f>IF(AND(ISNUMBER($A762),$B762&lt;&gt;"",$D762&lt;&gt;"Examen partiel (ne relance pas)"),IF($A762&lt;=TODAY(),$A762,0),0)</f>
      </c>
      <c r="M762" s="20">
        <f>IF($L762=0,"",$B762&amp;"|"&amp;$L762)</f>
      </c>
    </row>
    <row r="763" spans="1:13" x14ac:dyDescent="0.25">
      <c r="A763" s="24"/>
      <c r="B763" s="9"/>
      <c r="C763" s="20">
        <f>IF($B763="","",IFERROR(INDEX(Parc!$B$2:$B$301,MATCH($B763,Parc!$A$2:$A$301,0)),"Réf. inconnue"))</f>
      </c>
      <c r="D763" s="9"/>
      <c r="E763" s="9"/>
      <c r="F763" s="9"/>
      <c r="G763" s="9"/>
      <c r="H763" s="9"/>
      <c r="I763" s="24"/>
      <c r="J763" s="9"/>
      <c r="K763" s="9"/>
      <c r="L763" s="20">
        <f>IF(AND(ISNUMBER($A763),$B763&lt;&gt;"",$D763&lt;&gt;"Examen partiel (ne relance pas)"),IF($A763&lt;=TODAY(),$A763,0),0)</f>
      </c>
      <c r="M763" s="20">
        <f>IF($L763=0,"",$B763&amp;"|"&amp;$L763)</f>
      </c>
    </row>
    <row r="764" spans="1:13" x14ac:dyDescent="0.25">
      <c r="A764" s="24"/>
      <c r="B764" s="9"/>
      <c r="C764" s="20">
        <f>IF($B764="","",IFERROR(INDEX(Parc!$B$2:$B$301,MATCH($B764,Parc!$A$2:$A$301,0)),"Réf. inconnue"))</f>
      </c>
      <c r="D764" s="9"/>
      <c r="E764" s="9"/>
      <c r="F764" s="9"/>
      <c r="G764" s="9"/>
      <c r="H764" s="9"/>
      <c r="I764" s="24"/>
      <c r="J764" s="9"/>
      <c r="K764" s="9"/>
      <c r="L764" s="20">
        <f>IF(AND(ISNUMBER($A764),$B764&lt;&gt;"",$D764&lt;&gt;"Examen partiel (ne relance pas)"),IF($A764&lt;=TODAY(),$A764,0),0)</f>
      </c>
      <c r="M764" s="20">
        <f>IF($L764=0,"",$B764&amp;"|"&amp;$L764)</f>
      </c>
    </row>
    <row r="765" spans="1:13" x14ac:dyDescent="0.25">
      <c r="A765" s="24"/>
      <c r="B765" s="9"/>
      <c r="C765" s="20">
        <f>IF($B765="","",IFERROR(INDEX(Parc!$B$2:$B$301,MATCH($B765,Parc!$A$2:$A$301,0)),"Réf. inconnue"))</f>
      </c>
      <c r="D765" s="9"/>
      <c r="E765" s="9"/>
      <c r="F765" s="9"/>
      <c r="G765" s="9"/>
      <c r="H765" s="9"/>
      <c r="I765" s="24"/>
      <c r="J765" s="9"/>
      <c r="K765" s="9"/>
      <c r="L765" s="20">
        <f>IF(AND(ISNUMBER($A765),$B765&lt;&gt;"",$D765&lt;&gt;"Examen partiel (ne relance pas)"),IF($A765&lt;=TODAY(),$A765,0),0)</f>
      </c>
      <c r="M765" s="20">
        <f>IF($L765=0,"",$B765&amp;"|"&amp;$L765)</f>
      </c>
    </row>
    <row r="766" spans="1:13" x14ac:dyDescent="0.25">
      <c r="A766" s="24"/>
      <c r="B766" s="9"/>
      <c r="C766" s="20">
        <f>IF($B766="","",IFERROR(INDEX(Parc!$B$2:$B$301,MATCH($B766,Parc!$A$2:$A$301,0)),"Réf. inconnue"))</f>
      </c>
      <c r="D766" s="9"/>
      <c r="E766" s="9"/>
      <c r="F766" s="9"/>
      <c r="G766" s="9"/>
      <c r="H766" s="9"/>
      <c r="I766" s="24"/>
      <c r="J766" s="9"/>
      <c r="K766" s="9"/>
      <c r="L766" s="20">
        <f>IF(AND(ISNUMBER($A766),$B766&lt;&gt;"",$D766&lt;&gt;"Examen partiel (ne relance pas)"),IF($A766&lt;=TODAY(),$A766,0),0)</f>
      </c>
      <c r="M766" s="20">
        <f>IF($L766=0,"",$B766&amp;"|"&amp;$L766)</f>
      </c>
    </row>
    <row r="767" spans="1:13" x14ac:dyDescent="0.25">
      <c r="A767" s="24"/>
      <c r="B767" s="9"/>
      <c r="C767" s="20">
        <f>IF($B767="","",IFERROR(INDEX(Parc!$B$2:$B$301,MATCH($B767,Parc!$A$2:$A$301,0)),"Réf. inconnue"))</f>
      </c>
      <c r="D767" s="9"/>
      <c r="E767" s="9"/>
      <c r="F767" s="9"/>
      <c r="G767" s="9"/>
      <c r="H767" s="9"/>
      <c r="I767" s="24"/>
      <c r="J767" s="9"/>
      <c r="K767" s="9"/>
      <c r="L767" s="20">
        <f>IF(AND(ISNUMBER($A767),$B767&lt;&gt;"",$D767&lt;&gt;"Examen partiel (ne relance pas)"),IF($A767&lt;=TODAY(),$A767,0),0)</f>
      </c>
      <c r="M767" s="20">
        <f>IF($L767=0,"",$B767&amp;"|"&amp;$L767)</f>
      </c>
    </row>
    <row r="768" spans="1:13" x14ac:dyDescent="0.25">
      <c r="A768" s="24"/>
      <c r="B768" s="9"/>
      <c r="C768" s="20">
        <f>IF($B768="","",IFERROR(INDEX(Parc!$B$2:$B$301,MATCH($B768,Parc!$A$2:$A$301,0)),"Réf. inconnue"))</f>
      </c>
      <c r="D768" s="9"/>
      <c r="E768" s="9"/>
      <c r="F768" s="9"/>
      <c r="G768" s="9"/>
      <c r="H768" s="9"/>
      <c r="I768" s="24"/>
      <c r="J768" s="9"/>
      <c r="K768" s="9"/>
      <c r="L768" s="20">
        <f>IF(AND(ISNUMBER($A768),$B768&lt;&gt;"",$D768&lt;&gt;"Examen partiel (ne relance pas)"),IF($A768&lt;=TODAY(),$A768,0),0)</f>
      </c>
      <c r="M768" s="20">
        <f>IF($L768=0,"",$B768&amp;"|"&amp;$L768)</f>
      </c>
    </row>
    <row r="769" spans="1:13" x14ac:dyDescent="0.25">
      <c r="A769" s="24"/>
      <c r="B769" s="9"/>
      <c r="C769" s="20">
        <f>IF($B769="","",IFERROR(INDEX(Parc!$B$2:$B$301,MATCH($B769,Parc!$A$2:$A$301,0)),"Réf. inconnue"))</f>
      </c>
      <c r="D769" s="9"/>
      <c r="E769" s="9"/>
      <c r="F769" s="9"/>
      <c r="G769" s="9"/>
      <c r="H769" s="9"/>
      <c r="I769" s="24"/>
      <c r="J769" s="9"/>
      <c r="K769" s="9"/>
      <c r="L769" s="20">
        <f>IF(AND(ISNUMBER($A769),$B769&lt;&gt;"",$D769&lt;&gt;"Examen partiel (ne relance pas)"),IF($A769&lt;=TODAY(),$A769,0),0)</f>
      </c>
      <c r="M769" s="20">
        <f>IF($L769=0,"",$B769&amp;"|"&amp;$L769)</f>
      </c>
    </row>
    <row r="770" spans="1:13" x14ac:dyDescent="0.25">
      <c r="A770" s="24"/>
      <c r="B770" s="9"/>
      <c r="C770" s="20">
        <f>IF($B770="","",IFERROR(INDEX(Parc!$B$2:$B$301,MATCH($B770,Parc!$A$2:$A$301,0)),"Réf. inconnue"))</f>
      </c>
      <c r="D770" s="9"/>
      <c r="E770" s="9"/>
      <c r="F770" s="9"/>
      <c r="G770" s="9"/>
      <c r="H770" s="9"/>
      <c r="I770" s="24"/>
      <c r="J770" s="9"/>
      <c r="K770" s="9"/>
      <c r="L770" s="20">
        <f>IF(AND(ISNUMBER($A770),$B770&lt;&gt;"",$D770&lt;&gt;"Examen partiel (ne relance pas)"),IF($A770&lt;=TODAY(),$A770,0),0)</f>
      </c>
      <c r="M770" s="20">
        <f>IF($L770=0,"",$B770&amp;"|"&amp;$L770)</f>
      </c>
    </row>
    <row r="771" spans="1:13" x14ac:dyDescent="0.25">
      <c r="A771" s="24"/>
      <c r="B771" s="9"/>
      <c r="C771" s="20">
        <f>IF($B771="","",IFERROR(INDEX(Parc!$B$2:$B$301,MATCH($B771,Parc!$A$2:$A$301,0)),"Réf. inconnue"))</f>
      </c>
      <c r="D771" s="9"/>
      <c r="E771" s="9"/>
      <c r="F771" s="9"/>
      <c r="G771" s="9"/>
      <c r="H771" s="9"/>
      <c r="I771" s="24"/>
      <c r="J771" s="9"/>
      <c r="K771" s="9"/>
      <c r="L771" s="20">
        <f>IF(AND(ISNUMBER($A771),$B771&lt;&gt;"",$D771&lt;&gt;"Examen partiel (ne relance pas)"),IF($A771&lt;=TODAY(),$A771,0),0)</f>
      </c>
      <c r="M771" s="20">
        <f>IF($L771=0,"",$B771&amp;"|"&amp;$L771)</f>
      </c>
    </row>
    <row r="772" spans="1:13" x14ac:dyDescent="0.25">
      <c r="A772" s="24"/>
      <c r="B772" s="9"/>
      <c r="C772" s="20">
        <f>IF($B772="","",IFERROR(INDEX(Parc!$B$2:$B$301,MATCH($B772,Parc!$A$2:$A$301,0)),"Réf. inconnue"))</f>
      </c>
      <c r="D772" s="9"/>
      <c r="E772" s="9"/>
      <c r="F772" s="9"/>
      <c r="G772" s="9"/>
      <c r="H772" s="9"/>
      <c r="I772" s="24"/>
      <c r="J772" s="9"/>
      <c r="K772" s="9"/>
      <c r="L772" s="20">
        <f>IF(AND(ISNUMBER($A772),$B772&lt;&gt;"",$D772&lt;&gt;"Examen partiel (ne relance pas)"),IF($A772&lt;=TODAY(),$A772,0),0)</f>
      </c>
      <c r="M772" s="20">
        <f>IF($L772=0,"",$B772&amp;"|"&amp;$L772)</f>
      </c>
    </row>
    <row r="773" spans="1:13" x14ac:dyDescent="0.25">
      <c r="A773" s="24"/>
      <c r="B773" s="9"/>
      <c r="C773" s="20">
        <f>IF($B773="","",IFERROR(INDEX(Parc!$B$2:$B$301,MATCH($B773,Parc!$A$2:$A$301,0)),"Réf. inconnue"))</f>
      </c>
      <c r="D773" s="9"/>
      <c r="E773" s="9"/>
      <c r="F773" s="9"/>
      <c r="G773" s="9"/>
      <c r="H773" s="9"/>
      <c r="I773" s="24"/>
      <c r="J773" s="9"/>
      <c r="K773" s="9"/>
      <c r="L773" s="20">
        <f>IF(AND(ISNUMBER($A773),$B773&lt;&gt;"",$D773&lt;&gt;"Examen partiel (ne relance pas)"),IF($A773&lt;=TODAY(),$A773,0),0)</f>
      </c>
      <c r="M773" s="20">
        <f>IF($L773=0,"",$B773&amp;"|"&amp;$L773)</f>
      </c>
    </row>
    <row r="774" spans="1:13" x14ac:dyDescent="0.25">
      <c r="A774" s="24"/>
      <c r="B774" s="9"/>
      <c r="C774" s="20">
        <f>IF($B774="","",IFERROR(INDEX(Parc!$B$2:$B$301,MATCH($B774,Parc!$A$2:$A$301,0)),"Réf. inconnue"))</f>
      </c>
      <c r="D774" s="9"/>
      <c r="E774" s="9"/>
      <c r="F774" s="9"/>
      <c r="G774" s="9"/>
      <c r="H774" s="9"/>
      <c r="I774" s="24"/>
      <c r="J774" s="9"/>
      <c r="K774" s="9"/>
      <c r="L774" s="20">
        <f>IF(AND(ISNUMBER($A774),$B774&lt;&gt;"",$D774&lt;&gt;"Examen partiel (ne relance pas)"),IF($A774&lt;=TODAY(),$A774,0),0)</f>
      </c>
      <c r="M774" s="20">
        <f>IF($L774=0,"",$B774&amp;"|"&amp;$L774)</f>
      </c>
    </row>
    <row r="775" spans="1:13" x14ac:dyDescent="0.25">
      <c r="A775" s="24"/>
      <c r="B775" s="9"/>
      <c r="C775" s="20">
        <f>IF($B775="","",IFERROR(INDEX(Parc!$B$2:$B$301,MATCH($B775,Parc!$A$2:$A$301,0)),"Réf. inconnue"))</f>
      </c>
      <c r="D775" s="9"/>
      <c r="E775" s="9"/>
      <c r="F775" s="9"/>
      <c r="G775" s="9"/>
      <c r="H775" s="9"/>
      <c r="I775" s="24"/>
      <c r="J775" s="9"/>
      <c r="K775" s="9"/>
      <c r="L775" s="20">
        <f>IF(AND(ISNUMBER($A775),$B775&lt;&gt;"",$D775&lt;&gt;"Examen partiel (ne relance pas)"),IF($A775&lt;=TODAY(),$A775,0),0)</f>
      </c>
      <c r="M775" s="20">
        <f>IF($L775=0,"",$B775&amp;"|"&amp;$L775)</f>
      </c>
    </row>
    <row r="776" spans="1:13" x14ac:dyDescent="0.25">
      <c r="A776" s="24"/>
      <c r="B776" s="9"/>
      <c r="C776" s="20">
        <f>IF($B776="","",IFERROR(INDEX(Parc!$B$2:$B$301,MATCH($B776,Parc!$A$2:$A$301,0)),"Réf. inconnue"))</f>
      </c>
      <c r="D776" s="9"/>
      <c r="E776" s="9"/>
      <c r="F776" s="9"/>
      <c r="G776" s="9"/>
      <c r="H776" s="9"/>
      <c r="I776" s="24"/>
      <c r="J776" s="9"/>
      <c r="K776" s="9"/>
      <c r="L776" s="20">
        <f>IF(AND(ISNUMBER($A776),$B776&lt;&gt;"",$D776&lt;&gt;"Examen partiel (ne relance pas)"),IF($A776&lt;=TODAY(),$A776,0),0)</f>
      </c>
      <c r="M776" s="20">
        <f>IF($L776=0,"",$B776&amp;"|"&amp;$L776)</f>
      </c>
    </row>
    <row r="777" spans="1:13" x14ac:dyDescent="0.25">
      <c r="A777" s="24"/>
      <c r="B777" s="9"/>
      <c r="C777" s="20">
        <f>IF($B777="","",IFERROR(INDEX(Parc!$B$2:$B$301,MATCH($B777,Parc!$A$2:$A$301,0)),"Réf. inconnue"))</f>
      </c>
      <c r="D777" s="9"/>
      <c r="E777" s="9"/>
      <c r="F777" s="9"/>
      <c r="G777" s="9"/>
      <c r="H777" s="9"/>
      <c r="I777" s="24"/>
      <c r="J777" s="9"/>
      <c r="K777" s="9"/>
      <c r="L777" s="20">
        <f>IF(AND(ISNUMBER($A777),$B777&lt;&gt;"",$D777&lt;&gt;"Examen partiel (ne relance pas)"),IF($A777&lt;=TODAY(),$A777,0),0)</f>
      </c>
      <c r="M777" s="20">
        <f>IF($L777=0,"",$B777&amp;"|"&amp;$L777)</f>
      </c>
    </row>
    <row r="778" spans="1:13" x14ac:dyDescent="0.25">
      <c r="A778" s="24"/>
      <c r="B778" s="9"/>
      <c r="C778" s="20">
        <f>IF($B778="","",IFERROR(INDEX(Parc!$B$2:$B$301,MATCH($B778,Parc!$A$2:$A$301,0)),"Réf. inconnue"))</f>
      </c>
      <c r="D778" s="9"/>
      <c r="E778" s="9"/>
      <c r="F778" s="9"/>
      <c r="G778" s="9"/>
      <c r="H778" s="9"/>
      <c r="I778" s="24"/>
      <c r="J778" s="9"/>
      <c r="K778" s="9"/>
      <c r="L778" s="20">
        <f>IF(AND(ISNUMBER($A778),$B778&lt;&gt;"",$D778&lt;&gt;"Examen partiel (ne relance pas)"),IF($A778&lt;=TODAY(),$A778,0),0)</f>
      </c>
      <c r="M778" s="20">
        <f>IF($L778=0,"",$B778&amp;"|"&amp;$L778)</f>
      </c>
    </row>
    <row r="779" spans="1:13" x14ac:dyDescent="0.25">
      <c r="A779" s="24"/>
      <c r="B779" s="9"/>
      <c r="C779" s="20">
        <f>IF($B779="","",IFERROR(INDEX(Parc!$B$2:$B$301,MATCH($B779,Parc!$A$2:$A$301,0)),"Réf. inconnue"))</f>
      </c>
      <c r="D779" s="9"/>
      <c r="E779" s="9"/>
      <c r="F779" s="9"/>
      <c r="G779" s="9"/>
      <c r="H779" s="9"/>
      <c r="I779" s="24"/>
      <c r="J779" s="9"/>
      <c r="K779" s="9"/>
      <c r="L779" s="20">
        <f>IF(AND(ISNUMBER($A779),$B779&lt;&gt;"",$D779&lt;&gt;"Examen partiel (ne relance pas)"),IF($A779&lt;=TODAY(),$A779,0),0)</f>
      </c>
      <c r="M779" s="20">
        <f>IF($L779=0,"",$B779&amp;"|"&amp;$L779)</f>
      </c>
    </row>
    <row r="780" spans="1:13" x14ac:dyDescent="0.25">
      <c r="A780" s="24"/>
      <c r="B780" s="9"/>
      <c r="C780" s="20">
        <f>IF($B780="","",IFERROR(INDEX(Parc!$B$2:$B$301,MATCH($B780,Parc!$A$2:$A$301,0)),"Réf. inconnue"))</f>
      </c>
      <c r="D780" s="9"/>
      <c r="E780" s="9"/>
      <c r="F780" s="9"/>
      <c r="G780" s="9"/>
      <c r="H780" s="9"/>
      <c r="I780" s="24"/>
      <c r="J780" s="9"/>
      <c r="K780" s="9"/>
      <c r="L780" s="20">
        <f>IF(AND(ISNUMBER($A780),$B780&lt;&gt;"",$D780&lt;&gt;"Examen partiel (ne relance pas)"),IF($A780&lt;=TODAY(),$A780,0),0)</f>
      </c>
      <c r="M780" s="20">
        <f>IF($L780=0,"",$B780&amp;"|"&amp;$L780)</f>
      </c>
    </row>
    <row r="781" spans="1:13" x14ac:dyDescent="0.25">
      <c r="A781" s="24"/>
      <c r="B781" s="9"/>
      <c r="C781" s="20">
        <f>IF($B781="","",IFERROR(INDEX(Parc!$B$2:$B$301,MATCH($B781,Parc!$A$2:$A$301,0)),"Réf. inconnue"))</f>
      </c>
      <c r="D781" s="9"/>
      <c r="E781" s="9"/>
      <c r="F781" s="9"/>
      <c r="G781" s="9"/>
      <c r="H781" s="9"/>
      <c r="I781" s="24"/>
      <c r="J781" s="9"/>
      <c r="K781" s="9"/>
      <c r="L781" s="20">
        <f>IF(AND(ISNUMBER($A781),$B781&lt;&gt;"",$D781&lt;&gt;"Examen partiel (ne relance pas)"),IF($A781&lt;=TODAY(),$A781,0),0)</f>
      </c>
      <c r="M781" s="20">
        <f>IF($L781=0,"",$B781&amp;"|"&amp;$L781)</f>
      </c>
    </row>
    <row r="782" spans="1:13" x14ac:dyDescent="0.25">
      <c r="A782" s="24"/>
      <c r="B782" s="9"/>
      <c r="C782" s="20">
        <f>IF($B782="","",IFERROR(INDEX(Parc!$B$2:$B$301,MATCH($B782,Parc!$A$2:$A$301,0)),"Réf. inconnue"))</f>
      </c>
      <c r="D782" s="9"/>
      <c r="E782" s="9"/>
      <c r="F782" s="9"/>
      <c r="G782" s="9"/>
      <c r="H782" s="9"/>
      <c r="I782" s="24"/>
      <c r="J782" s="9"/>
      <c r="K782" s="9"/>
      <c r="L782" s="20">
        <f>IF(AND(ISNUMBER($A782),$B782&lt;&gt;"",$D782&lt;&gt;"Examen partiel (ne relance pas)"),IF($A782&lt;=TODAY(),$A782,0),0)</f>
      </c>
      <c r="M782" s="20">
        <f>IF($L782=0,"",$B782&amp;"|"&amp;$L782)</f>
      </c>
    </row>
    <row r="783" spans="1:13" x14ac:dyDescent="0.25">
      <c r="A783" s="24"/>
      <c r="B783" s="9"/>
      <c r="C783" s="20">
        <f>IF($B783="","",IFERROR(INDEX(Parc!$B$2:$B$301,MATCH($B783,Parc!$A$2:$A$301,0)),"Réf. inconnue"))</f>
      </c>
      <c r="D783" s="9"/>
      <c r="E783" s="9"/>
      <c r="F783" s="9"/>
      <c r="G783" s="9"/>
      <c r="H783" s="9"/>
      <c r="I783" s="24"/>
      <c r="J783" s="9"/>
      <c r="K783" s="9"/>
      <c r="L783" s="20">
        <f>IF(AND(ISNUMBER($A783),$B783&lt;&gt;"",$D783&lt;&gt;"Examen partiel (ne relance pas)"),IF($A783&lt;=TODAY(),$A783,0),0)</f>
      </c>
      <c r="M783" s="20">
        <f>IF($L783=0,"",$B783&amp;"|"&amp;$L783)</f>
      </c>
    </row>
    <row r="784" spans="1:13" x14ac:dyDescent="0.25">
      <c r="A784" s="24"/>
      <c r="B784" s="9"/>
      <c r="C784" s="20">
        <f>IF($B784="","",IFERROR(INDEX(Parc!$B$2:$B$301,MATCH($B784,Parc!$A$2:$A$301,0)),"Réf. inconnue"))</f>
      </c>
      <c r="D784" s="9"/>
      <c r="E784" s="9"/>
      <c r="F784" s="9"/>
      <c r="G784" s="9"/>
      <c r="H784" s="9"/>
      <c r="I784" s="24"/>
      <c r="J784" s="9"/>
      <c r="K784" s="9"/>
      <c r="L784" s="20">
        <f>IF(AND(ISNUMBER($A784),$B784&lt;&gt;"",$D784&lt;&gt;"Examen partiel (ne relance pas)"),IF($A784&lt;=TODAY(),$A784,0),0)</f>
      </c>
      <c r="M784" s="20">
        <f>IF($L784=0,"",$B784&amp;"|"&amp;$L784)</f>
      </c>
    </row>
    <row r="785" spans="1:13" x14ac:dyDescent="0.25">
      <c r="A785" s="24"/>
      <c r="B785" s="9"/>
      <c r="C785" s="20">
        <f>IF($B785="","",IFERROR(INDEX(Parc!$B$2:$B$301,MATCH($B785,Parc!$A$2:$A$301,0)),"Réf. inconnue"))</f>
      </c>
      <c r="D785" s="9"/>
      <c r="E785" s="9"/>
      <c r="F785" s="9"/>
      <c r="G785" s="9"/>
      <c r="H785" s="9"/>
      <c r="I785" s="24"/>
      <c r="J785" s="9"/>
      <c r="K785" s="9"/>
      <c r="L785" s="20">
        <f>IF(AND(ISNUMBER($A785),$B785&lt;&gt;"",$D785&lt;&gt;"Examen partiel (ne relance pas)"),IF($A785&lt;=TODAY(),$A785,0),0)</f>
      </c>
      <c r="M785" s="20">
        <f>IF($L785=0,"",$B785&amp;"|"&amp;$L785)</f>
      </c>
    </row>
    <row r="786" spans="1:13" x14ac:dyDescent="0.25">
      <c r="A786" s="24"/>
      <c r="B786" s="9"/>
      <c r="C786" s="20">
        <f>IF($B786="","",IFERROR(INDEX(Parc!$B$2:$B$301,MATCH($B786,Parc!$A$2:$A$301,0)),"Réf. inconnue"))</f>
      </c>
      <c r="D786" s="9"/>
      <c r="E786" s="9"/>
      <c r="F786" s="9"/>
      <c r="G786" s="9"/>
      <c r="H786" s="9"/>
      <c r="I786" s="24"/>
      <c r="J786" s="9"/>
      <c r="K786" s="9"/>
      <c r="L786" s="20">
        <f>IF(AND(ISNUMBER($A786),$B786&lt;&gt;"",$D786&lt;&gt;"Examen partiel (ne relance pas)"),IF($A786&lt;=TODAY(),$A786,0),0)</f>
      </c>
      <c r="M786" s="20">
        <f>IF($L786=0,"",$B786&amp;"|"&amp;$L786)</f>
      </c>
    </row>
    <row r="787" spans="1:13" x14ac:dyDescent="0.25">
      <c r="A787" s="24"/>
      <c r="B787" s="9"/>
      <c r="C787" s="20">
        <f>IF($B787="","",IFERROR(INDEX(Parc!$B$2:$B$301,MATCH($B787,Parc!$A$2:$A$301,0)),"Réf. inconnue"))</f>
      </c>
      <c r="D787" s="9"/>
      <c r="E787" s="9"/>
      <c r="F787" s="9"/>
      <c r="G787" s="9"/>
      <c r="H787" s="9"/>
      <c r="I787" s="24"/>
      <c r="J787" s="9"/>
      <c r="K787" s="9"/>
      <c r="L787" s="20">
        <f>IF(AND(ISNUMBER($A787),$B787&lt;&gt;"",$D787&lt;&gt;"Examen partiel (ne relance pas)"),IF($A787&lt;=TODAY(),$A787,0),0)</f>
      </c>
      <c r="M787" s="20">
        <f>IF($L787=0,"",$B787&amp;"|"&amp;$L787)</f>
      </c>
    </row>
    <row r="788" spans="1:13" x14ac:dyDescent="0.25">
      <c r="A788" s="24"/>
      <c r="B788" s="9"/>
      <c r="C788" s="20">
        <f>IF($B788="","",IFERROR(INDEX(Parc!$B$2:$B$301,MATCH($B788,Parc!$A$2:$A$301,0)),"Réf. inconnue"))</f>
      </c>
      <c r="D788" s="9"/>
      <c r="E788" s="9"/>
      <c r="F788" s="9"/>
      <c r="G788" s="9"/>
      <c r="H788" s="9"/>
      <c r="I788" s="24"/>
      <c r="J788" s="9"/>
      <c r="K788" s="9"/>
      <c r="L788" s="20">
        <f>IF(AND(ISNUMBER($A788),$B788&lt;&gt;"",$D788&lt;&gt;"Examen partiel (ne relance pas)"),IF($A788&lt;=TODAY(),$A788,0),0)</f>
      </c>
      <c r="M788" s="20">
        <f>IF($L788=0,"",$B788&amp;"|"&amp;$L788)</f>
      </c>
    </row>
    <row r="789" spans="1:13" x14ac:dyDescent="0.25">
      <c r="A789" s="24"/>
      <c r="B789" s="9"/>
      <c r="C789" s="20">
        <f>IF($B789="","",IFERROR(INDEX(Parc!$B$2:$B$301,MATCH($B789,Parc!$A$2:$A$301,0)),"Réf. inconnue"))</f>
      </c>
      <c r="D789" s="9"/>
      <c r="E789" s="9"/>
      <c r="F789" s="9"/>
      <c r="G789" s="9"/>
      <c r="H789" s="9"/>
      <c r="I789" s="24"/>
      <c r="J789" s="9"/>
      <c r="K789" s="9"/>
      <c r="L789" s="20">
        <f>IF(AND(ISNUMBER($A789),$B789&lt;&gt;"",$D789&lt;&gt;"Examen partiel (ne relance pas)"),IF($A789&lt;=TODAY(),$A789,0),0)</f>
      </c>
      <c r="M789" s="20">
        <f>IF($L789=0,"",$B789&amp;"|"&amp;$L789)</f>
      </c>
    </row>
    <row r="790" spans="1:13" x14ac:dyDescent="0.25">
      <c r="A790" s="24"/>
      <c r="B790" s="9"/>
      <c r="C790" s="20">
        <f>IF($B790="","",IFERROR(INDEX(Parc!$B$2:$B$301,MATCH($B790,Parc!$A$2:$A$301,0)),"Réf. inconnue"))</f>
      </c>
      <c r="D790" s="9"/>
      <c r="E790" s="9"/>
      <c r="F790" s="9"/>
      <c r="G790" s="9"/>
      <c r="H790" s="9"/>
      <c r="I790" s="24"/>
      <c r="J790" s="9"/>
      <c r="K790" s="9"/>
      <c r="L790" s="20">
        <f>IF(AND(ISNUMBER($A790),$B790&lt;&gt;"",$D790&lt;&gt;"Examen partiel (ne relance pas)"),IF($A790&lt;=TODAY(),$A790,0),0)</f>
      </c>
      <c r="M790" s="20">
        <f>IF($L790=0,"",$B790&amp;"|"&amp;$L790)</f>
      </c>
    </row>
    <row r="791" spans="1:13" x14ac:dyDescent="0.25">
      <c r="A791" s="24"/>
      <c r="B791" s="9"/>
      <c r="C791" s="20">
        <f>IF($B791="","",IFERROR(INDEX(Parc!$B$2:$B$301,MATCH($B791,Parc!$A$2:$A$301,0)),"Réf. inconnue"))</f>
      </c>
      <c r="D791" s="9"/>
      <c r="E791" s="9"/>
      <c r="F791" s="9"/>
      <c r="G791" s="9"/>
      <c r="H791" s="9"/>
      <c r="I791" s="24"/>
      <c r="J791" s="9"/>
      <c r="K791" s="9"/>
      <c r="L791" s="20">
        <f>IF(AND(ISNUMBER($A791),$B791&lt;&gt;"",$D791&lt;&gt;"Examen partiel (ne relance pas)"),IF($A791&lt;=TODAY(),$A791,0),0)</f>
      </c>
      <c r="M791" s="20">
        <f>IF($L791=0,"",$B791&amp;"|"&amp;$L791)</f>
      </c>
    </row>
    <row r="792" spans="1:13" x14ac:dyDescent="0.25">
      <c r="A792" s="24"/>
      <c r="B792" s="9"/>
      <c r="C792" s="20">
        <f>IF($B792="","",IFERROR(INDEX(Parc!$B$2:$B$301,MATCH($B792,Parc!$A$2:$A$301,0)),"Réf. inconnue"))</f>
      </c>
      <c r="D792" s="9"/>
      <c r="E792" s="9"/>
      <c r="F792" s="9"/>
      <c r="G792" s="9"/>
      <c r="H792" s="9"/>
      <c r="I792" s="24"/>
      <c r="J792" s="9"/>
      <c r="K792" s="9"/>
      <c r="L792" s="20">
        <f>IF(AND(ISNUMBER($A792),$B792&lt;&gt;"",$D792&lt;&gt;"Examen partiel (ne relance pas)"),IF($A792&lt;=TODAY(),$A792,0),0)</f>
      </c>
      <c r="M792" s="20">
        <f>IF($L792=0,"",$B792&amp;"|"&amp;$L792)</f>
      </c>
    </row>
    <row r="793" spans="1:13" x14ac:dyDescent="0.25">
      <c r="A793" s="24"/>
      <c r="B793" s="9"/>
      <c r="C793" s="20">
        <f>IF($B793="","",IFERROR(INDEX(Parc!$B$2:$B$301,MATCH($B793,Parc!$A$2:$A$301,0)),"Réf. inconnue"))</f>
      </c>
      <c r="D793" s="9"/>
      <c r="E793" s="9"/>
      <c r="F793" s="9"/>
      <c r="G793" s="9"/>
      <c r="H793" s="9"/>
      <c r="I793" s="24"/>
      <c r="J793" s="9"/>
      <c r="K793" s="9"/>
      <c r="L793" s="20">
        <f>IF(AND(ISNUMBER($A793),$B793&lt;&gt;"",$D793&lt;&gt;"Examen partiel (ne relance pas)"),IF($A793&lt;=TODAY(),$A793,0),0)</f>
      </c>
      <c r="M793" s="20">
        <f>IF($L793=0,"",$B793&amp;"|"&amp;$L793)</f>
      </c>
    </row>
    <row r="794" spans="1:13" x14ac:dyDescent="0.25">
      <c r="A794" s="24"/>
      <c r="B794" s="9"/>
      <c r="C794" s="20">
        <f>IF($B794="","",IFERROR(INDEX(Parc!$B$2:$B$301,MATCH($B794,Parc!$A$2:$A$301,0)),"Réf. inconnue"))</f>
      </c>
      <c r="D794" s="9"/>
      <c r="E794" s="9"/>
      <c r="F794" s="9"/>
      <c r="G794" s="9"/>
      <c r="H794" s="9"/>
      <c r="I794" s="24"/>
      <c r="J794" s="9"/>
      <c r="K794" s="9"/>
      <c r="L794" s="20">
        <f>IF(AND(ISNUMBER($A794),$B794&lt;&gt;"",$D794&lt;&gt;"Examen partiel (ne relance pas)"),IF($A794&lt;=TODAY(),$A794,0),0)</f>
      </c>
      <c r="M794" s="20">
        <f>IF($L794=0,"",$B794&amp;"|"&amp;$L794)</f>
      </c>
    </row>
    <row r="795" spans="1:13" x14ac:dyDescent="0.25">
      <c r="A795" s="24"/>
      <c r="B795" s="9"/>
      <c r="C795" s="20">
        <f>IF($B795="","",IFERROR(INDEX(Parc!$B$2:$B$301,MATCH($B795,Parc!$A$2:$A$301,0)),"Réf. inconnue"))</f>
      </c>
      <c r="D795" s="9"/>
      <c r="E795" s="9"/>
      <c r="F795" s="9"/>
      <c r="G795" s="9"/>
      <c r="H795" s="9"/>
      <c r="I795" s="24"/>
      <c r="J795" s="9"/>
      <c r="K795" s="9"/>
      <c r="L795" s="20">
        <f>IF(AND(ISNUMBER($A795),$B795&lt;&gt;"",$D795&lt;&gt;"Examen partiel (ne relance pas)"),IF($A795&lt;=TODAY(),$A795,0),0)</f>
      </c>
      <c r="M795" s="20">
        <f>IF($L795=0,"",$B795&amp;"|"&amp;$L795)</f>
      </c>
    </row>
    <row r="796" spans="1:13" x14ac:dyDescent="0.25">
      <c r="A796" s="24"/>
      <c r="B796" s="9"/>
      <c r="C796" s="20">
        <f>IF($B796="","",IFERROR(INDEX(Parc!$B$2:$B$301,MATCH($B796,Parc!$A$2:$A$301,0)),"Réf. inconnue"))</f>
      </c>
      <c r="D796" s="9"/>
      <c r="E796" s="9"/>
      <c r="F796" s="9"/>
      <c r="G796" s="9"/>
      <c r="H796" s="9"/>
      <c r="I796" s="24"/>
      <c r="J796" s="9"/>
      <c r="K796" s="9"/>
      <c r="L796" s="20">
        <f>IF(AND(ISNUMBER($A796),$B796&lt;&gt;"",$D796&lt;&gt;"Examen partiel (ne relance pas)"),IF($A796&lt;=TODAY(),$A796,0),0)</f>
      </c>
      <c r="M796" s="20">
        <f>IF($L796=0,"",$B796&amp;"|"&amp;$L796)</f>
      </c>
    </row>
    <row r="797" spans="1:13" x14ac:dyDescent="0.25">
      <c r="A797" s="24"/>
      <c r="B797" s="9"/>
      <c r="C797" s="20">
        <f>IF($B797="","",IFERROR(INDEX(Parc!$B$2:$B$301,MATCH($B797,Parc!$A$2:$A$301,0)),"Réf. inconnue"))</f>
      </c>
      <c r="D797" s="9"/>
      <c r="E797" s="9"/>
      <c r="F797" s="9"/>
      <c r="G797" s="9"/>
      <c r="H797" s="9"/>
      <c r="I797" s="24"/>
      <c r="J797" s="9"/>
      <c r="K797" s="9"/>
      <c r="L797" s="20">
        <f>IF(AND(ISNUMBER($A797),$B797&lt;&gt;"",$D797&lt;&gt;"Examen partiel (ne relance pas)"),IF($A797&lt;=TODAY(),$A797,0),0)</f>
      </c>
      <c r="M797" s="20">
        <f>IF($L797=0,"",$B797&amp;"|"&amp;$L797)</f>
      </c>
    </row>
    <row r="798" spans="1:13" x14ac:dyDescent="0.25">
      <c r="A798" s="24"/>
      <c r="B798" s="9"/>
      <c r="C798" s="20">
        <f>IF($B798="","",IFERROR(INDEX(Parc!$B$2:$B$301,MATCH($B798,Parc!$A$2:$A$301,0)),"Réf. inconnue"))</f>
      </c>
      <c r="D798" s="9"/>
      <c r="E798" s="9"/>
      <c r="F798" s="9"/>
      <c r="G798" s="9"/>
      <c r="H798" s="9"/>
      <c r="I798" s="24"/>
      <c r="J798" s="9"/>
      <c r="K798" s="9"/>
      <c r="L798" s="20">
        <f>IF(AND(ISNUMBER($A798),$B798&lt;&gt;"",$D798&lt;&gt;"Examen partiel (ne relance pas)"),IF($A798&lt;=TODAY(),$A798,0),0)</f>
      </c>
      <c r="M798" s="20">
        <f>IF($L798=0,"",$B798&amp;"|"&amp;$L798)</f>
      </c>
    </row>
    <row r="799" spans="1:13" x14ac:dyDescent="0.25">
      <c r="A799" s="24"/>
      <c r="B799" s="9"/>
      <c r="C799" s="20">
        <f>IF($B799="","",IFERROR(INDEX(Parc!$B$2:$B$301,MATCH($B799,Parc!$A$2:$A$301,0)),"Réf. inconnue"))</f>
      </c>
      <c r="D799" s="9"/>
      <c r="E799" s="9"/>
      <c r="F799" s="9"/>
      <c r="G799" s="9"/>
      <c r="H799" s="9"/>
      <c r="I799" s="24"/>
      <c r="J799" s="9"/>
      <c r="K799" s="9"/>
      <c r="L799" s="20">
        <f>IF(AND(ISNUMBER($A799),$B799&lt;&gt;"",$D799&lt;&gt;"Examen partiel (ne relance pas)"),IF($A799&lt;=TODAY(),$A799,0),0)</f>
      </c>
      <c r="M799" s="20">
        <f>IF($L799=0,"",$B799&amp;"|"&amp;$L799)</f>
      </c>
    </row>
    <row r="800" spans="1:13" x14ac:dyDescent="0.25">
      <c r="A800" s="24"/>
      <c r="B800" s="9"/>
      <c r="C800" s="20">
        <f>IF($B800="","",IFERROR(INDEX(Parc!$B$2:$B$301,MATCH($B800,Parc!$A$2:$A$301,0)),"Réf. inconnue"))</f>
      </c>
      <c r="D800" s="9"/>
      <c r="E800" s="9"/>
      <c r="F800" s="9"/>
      <c r="G800" s="9"/>
      <c r="H800" s="9"/>
      <c r="I800" s="24"/>
      <c r="J800" s="9"/>
      <c r="K800" s="9"/>
      <c r="L800" s="20">
        <f>IF(AND(ISNUMBER($A800),$B800&lt;&gt;"",$D800&lt;&gt;"Examen partiel (ne relance pas)"),IF($A800&lt;=TODAY(),$A800,0),0)</f>
      </c>
      <c r="M800" s="20">
        <f>IF($L800=0,"",$B800&amp;"|"&amp;$L800)</f>
      </c>
    </row>
    <row r="801" spans="1:13" x14ac:dyDescent="0.25">
      <c r="A801" s="24"/>
      <c r="B801" s="9"/>
      <c r="C801" s="20">
        <f>IF($B801="","",IFERROR(INDEX(Parc!$B$2:$B$301,MATCH($B801,Parc!$A$2:$A$301,0)),"Réf. inconnue"))</f>
      </c>
      <c r="D801" s="9"/>
      <c r="E801" s="9"/>
      <c r="F801" s="9"/>
      <c r="G801" s="9"/>
      <c r="H801" s="9"/>
      <c r="I801" s="24"/>
      <c r="J801" s="9"/>
      <c r="K801" s="9"/>
      <c r="L801" s="20">
        <f>IF(AND(ISNUMBER($A801),$B801&lt;&gt;"",$D801&lt;&gt;"Examen partiel (ne relance pas)"),IF($A801&lt;=TODAY(),$A801,0),0)</f>
      </c>
      <c r="M801" s="20">
        <f>IF($L801=0,"",$B801&amp;"|"&amp;$L801)</f>
      </c>
    </row>
    <row r="802" spans="1:13" x14ac:dyDescent="0.25">
      <c r="A802" s="24"/>
      <c r="B802" s="9"/>
      <c r="C802" s="20">
        <f>IF($B802="","",IFERROR(INDEX(Parc!$B$2:$B$301,MATCH($B802,Parc!$A$2:$A$301,0)),"Réf. inconnue"))</f>
      </c>
      <c r="D802" s="9"/>
      <c r="E802" s="9"/>
      <c r="F802" s="9"/>
      <c r="G802" s="9"/>
      <c r="H802" s="9"/>
      <c r="I802" s="24"/>
      <c r="J802" s="9"/>
      <c r="K802" s="9"/>
      <c r="L802" s="20">
        <f>IF(AND(ISNUMBER($A802),$B802&lt;&gt;"",$D802&lt;&gt;"Examen partiel (ne relance pas)"),IF($A802&lt;=TODAY(),$A802,0),0)</f>
      </c>
      <c r="M802" s="20">
        <f>IF($L802=0,"",$B802&amp;"|"&amp;$L802)</f>
      </c>
    </row>
    <row r="803" spans="1:13" x14ac:dyDescent="0.25">
      <c r="A803" s="24"/>
      <c r="B803" s="9"/>
      <c r="C803" s="20">
        <f>IF($B803="","",IFERROR(INDEX(Parc!$B$2:$B$301,MATCH($B803,Parc!$A$2:$A$301,0)),"Réf. inconnue"))</f>
      </c>
      <c r="D803" s="9"/>
      <c r="E803" s="9"/>
      <c r="F803" s="9"/>
      <c r="G803" s="9"/>
      <c r="H803" s="9"/>
      <c r="I803" s="24"/>
      <c r="J803" s="9"/>
      <c r="K803" s="9"/>
      <c r="L803" s="20">
        <f>IF(AND(ISNUMBER($A803),$B803&lt;&gt;"",$D803&lt;&gt;"Examen partiel (ne relance pas)"),IF($A803&lt;=TODAY(),$A803,0),0)</f>
      </c>
      <c r="M803" s="20">
        <f>IF($L803=0,"",$B803&amp;"|"&amp;$L803)</f>
      </c>
    </row>
    <row r="804" spans="1:13" x14ac:dyDescent="0.25">
      <c r="A804" s="24"/>
      <c r="B804" s="9"/>
      <c r="C804" s="20">
        <f>IF($B804="","",IFERROR(INDEX(Parc!$B$2:$B$301,MATCH($B804,Parc!$A$2:$A$301,0)),"Réf. inconnue"))</f>
      </c>
      <c r="D804" s="9"/>
      <c r="E804" s="9"/>
      <c r="F804" s="9"/>
      <c r="G804" s="9"/>
      <c r="H804" s="9"/>
      <c r="I804" s="24"/>
      <c r="J804" s="9"/>
      <c r="K804" s="9"/>
      <c r="L804" s="20">
        <f>IF(AND(ISNUMBER($A804),$B804&lt;&gt;"",$D804&lt;&gt;"Examen partiel (ne relance pas)"),IF($A804&lt;=TODAY(),$A804,0),0)</f>
      </c>
      <c r="M804" s="20">
        <f>IF($L804=0,"",$B804&amp;"|"&amp;$L804)</f>
      </c>
    </row>
    <row r="805" spans="1:13" x14ac:dyDescent="0.25">
      <c r="A805" s="24"/>
      <c r="B805" s="9"/>
      <c r="C805" s="20">
        <f>IF($B805="","",IFERROR(INDEX(Parc!$B$2:$B$301,MATCH($B805,Parc!$A$2:$A$301,0)),"Réf. inconnue"))</f>
      </c>
      <c r="D805" s="9"/>
      <c r="E805" s="9"/>
      <c r="F805" s="9"/>
      <c r="G805" s="9"/>
      <c r="H805" s="9"/>
      <c r="I805" s="24"/>
      <c r="J805" s="9"/>
      <c r="K805" s="9"/>
      <c r="L805" s="20">
        <f>IF(AND(ISNUMBER($A805),$B805&lt;&gt;"",$D805&lt;&gt;"Examen partiel (ne relance pas)"),IF($A805&lt;=TODAY(),$A805,0),0)</f>
      </c>
      <c r="M805" s="20">
        <f>IF($L805=0,"",$B805&amp;"|"&amp;$L805)</f>
      </c>
    </row>
    <row r="806" spans="1:13" x14ac:dyDescent="0.25">
      <c r="A806" s="24"/>
      <c r="B806" s="9"/>
      <c r="C806" s="20">
        <f>IF($B806="","",IFERROR(INDEX(Parc!$B$2:$B$301,MATCH($B806,Parc!$A$2:$A$301,0)),"Réf. inconnue"))</f>
      </c>
      <c r="D806" s="9"/>
      <c r="E806" s="9"/>
      <c r="F806" s="9"/>
      <c r="G806" s="9"/>
      <c r="H806" s="9"/>
      <c r="I806" s="24"/>
      <c r="J806" s="9"/>
      <c r="K806" s="9"/>
      <c r="L806" s="20">
        <f>IF(AND(ISNUMBER($A806),$B806&lt;&gt;"",$D806&lt;&gt;"Examen partiel (ne relance pas)"),IF($A806&lt;=TODAY(),$A806,0),0)</f>
      </c>
      <c r="M806" s="20">
        <f>IF($L806=0,"",$B806&amp;"|"&amp;$L806)</f>
      </c>
    </row>
    <row r="807" spans="1:13" x14ac:dyDescent="0.25">
      <c r="A807" s="24"/>
      <c r="B807" s="9"/>
      <c r="C807" s="20">
        <f>IF($B807="","",IFERROR(INDEX(Parc!$B$2:$B$301,MATCH($B807,Parc!$A$2:$A$301,0)),"Réf. inconnue"))</f>
      </c>
      <c r="D807" s="9"/>
      <c r="E807" s="9"/>
      <c r="F807" s="9"/>
      <c r="G807" s="9"/>
      <c r="H807" s="9"/>
      <c r="I807" s="24"/>
      <c r="J807" s="9"/>
      <c r="K807" s="9"/>
      <c r="L807" s="20">
        <f>IF(AND(ISNUMBER($A807),$B807&lt;&gt;"",$D807&lt;&gt;"Examen partiel (ne relance pas)"),IF($A807&lt;=TODAY(),$A807,0),0)</f>
      </c>
      <c r="M807" s="20">
        <f>IF($L807=0,"",$B807&amp;"|"&amp;$L807)</f>
      </c>
    </row>
    <row r="808" spans="1:13" x14ac:dyDescent="0.25">
      <c r="A808" s="24"/>
      <c r="B808" s="9"/>
      <c r="C808" s="20">
        <f>IF($B808="","",IFERROR(INDEX(Parc!$B$2:$B$301,MATCH($B808,Parc!$A$2:$A$301,0)),"Réf. inconnue"))</f>
      </c>
      <c r="D808" s="9"/>
      <c r="E808" s="9"/>
      <c r="F808" s="9"/>
      <c r="G808" s="9"/>
      <c r="H808" s="9"/>
      <c r="I808" s="24"/>
      <c r="J808" s="9"/>
      <c r="K808" s="9"/>
      <c r="L808" s="20">
        <f>IF(AND(ISNUMBER($A808),$B808&lt;&gt;"",$D808&lt;&gt;"Examen partiel (ne relance pas)"),IF($A808&lt;=TODAY(),$A808,0),0)</f>
      </c>
      <c r="M808" s="20">
        <f>IF($L808=0,"",$B808&amp;"|"&amp;$L808)</f>
      </c>
    </row>
    <row r="809" spans="1:13" x14ac:dyDescent="0.25">
      <c r="A809" s="24"/>
      <c r="B809" s="9"/>
      <c r="C809" s="20">
        <f>IF($B809="","",IFERROR(INDEX(Parc!$B$2:$B$301,MATCH($B809,Parc!$A$2:$A$301,0)),"Réf. inconnue"))</f>
      </c>
      <c r="D809" s="9"/>
      <c r="E809" s="9"/>
      <c r="F809" s="9"/>
      <c r="G809" s="9"/>
      <c r="H809" s="9"/>
      <c r="I809" s="24"/>
      <c r="J809" s="9"/>
      <c r="K809" s="9"/>
      <c r="L809" s="20">
        <f>IF(AND(ISNUMBER($A809),$B809&lt;&gt;"",$D809&lt;&gt;"Examen partiel (ne relance pas)"),IF($A809&lt;=TODAY(),$A809,0),0)</f>
      </c>
      <c r="M809" s="20">
        <f>IF($L809=0,"",$B809&amp;"|"&amp;$L809)</f>
      </c>
    </row>
    <row r="810" spans="1:13" x14ac:dyDescent="0.25">
      <c r="A810" s="24"/>
      <c r="B810" s="9"/>
      <c r="C810" s="20">
        <f>IF($B810="","",IFERROR(INDEX(Parc!$B$2:$B$301,MATCH($B810,Parc!$A$2:$A$301,0)),"Réf. inconnue"))</f>
      </c>
      <c r="D810" s="9"/>
      <c r="E810" s="9"/>
      <c r="F810" s="9"/>
      <c r="G810" s="9"/>
      <c r="H810" s="9"/>
      <c r="I810" s="24"/>
      <c r="J810" s="9"/>
      <c r="K810" s="9"/>
      <c r="L810" s="20">
        <f>IF(AND(ISNUMBER($A810),$B810&lt;&gt;"",$D810&lt;&gt;"Examen partiel (ne relance pas)"),IF($A810&lt;=TODAY(),$A810,0),0)</f>
      </c>
      <c r="M810" s="20">
        <f>IF($L810=0,"",$B810&amp;"|"&amp;$L810)</f>
      </c>
    </row>
    <row r="811" spans="1:13" x14ac:dyDescent="0.25">
      <c r="A811" s="24"/>
      <c r="B811" s="9"/>
      <c r="C811" s="20">
        <f>IF($B811="","",IFERROR(INDEX(Parc!$B$2:$B$301,MATCH($B811,Parc!$A$2:$A$301,0)),"Réf. inconnue"))</f>
      </c>
      <c r="D811" s="9"/>
      <c r="E811" s="9"/>
      <c r="F811" s="9"/>
      <c r="G811" s="9"/>
      <c r="H811" s="9"/>
      <c r="I811" s="24"/>
      <c r="J811" s="9"/>
      <c r="K811" s="9"/>
      <c r="L811" s="20">
        <f>IF(AND(ISNUMBER($A811),$B811&lt;&gt;"",$D811&lt;&gt;"Examen partiel (ne relance pas)"),IF($A811&lt;=TODAY(),$A811,0),0)</f>
      </c>
      <c r="M811" s="20">
        <f>IF($L811=0,"",$B811&amp;"|"&amp;$L811)</f>
      </c>
    </row>
    <row r="812" spans="1:13" x14ac:dyDescent="0.25">
      <c r="A812" s="24"/>
      <c r="B812" s="9"/>
      <c r="C812" s="20">
        <f>IF($B812="","",IFERROR(INDEX(Parc!$B$2:$B$301,MATCH($B812,Parc!$A$2:$A$301,0)),"Réf. inconnue"))</f>
      </c>
      <c r="D812" s="9"/>
      <c r="E812" s="9"/>
      <c r="F812" s="9"/>
      <c r="G812" s="9"/>
      <c r="H812" s="9"/>
      <c r="I812" s="24"/>
      <c r="J812" s="9"/>
      <c r="K812" s="9"/>
      <c r="L812" s="20">
        <f>IF(AND(ISNUMBER($A812),$B812&lt;&gt;"",$D812&lt;&gt;"Examen partiel (ne relance pas)"),IF($A812&lt;=TODAY(),$A812,0),0)</f>
      </c>
      <c r="M812" s="20">
        <f>IF($L812=0,"",$B812&amp;"|"&amp;$L812)</f>
      </c>
    </row>
    <row r="813" spans="1:13" x14ac:dyDescent="0.25">
      <c r="A813" s="24"/>
      <c r="B813" s="9"/>
      <c r="C813" s="20">
        <f>IF($B813="","",IFERROR(INDEX(Parc!$B$2:$B$301,MATCH($B813,Parc!$A$2:$A$301,0)),"Réf. inconnue"))</f>
      </c>
      <c r="D813" s="9"/>
      <c r="E813" s="9"/>
      <c r="F813" s="9"/>
      <c r="G813" s="9"/>
      <c r="H813" s="9"/>
      <c r="I813" s="24"/>
      <c r="J813" s="9"/>
      <c r="K813" s="9"/>
      <c r="L813" s="20">
        <f>IF(AND(ISNUMBER($A813),$B813&lt;&gt;"",$D813&lt;&gt;"Examen partiel (ne relance pas)"),IF($A813&lt;=TODAY(),$A813,0),0)</f>
      </c>
      <c r="M813" s="20">
        <f>IF($L813=0,"",$B813&amp;"|"&amp;$L813)</f>
      </c>
    </row>
    <row r="814" spans="1:13" x14ac:dyDescent="0.25">
      <c r="A814" s="24"/>
      <c r="B814" s="9"/>
      <c r="C814" s="20">
        <f>IF($B814="","",IFERROR(INDEX(Parc!$B$2:$B$301,MATCH($B814,Parc!$A$2:$A$301,0)),"Réf. inconnue"))</f>
      </c>
      <c r="D814" s="9"/>
      <c r="E814" s="9"/>
      <c r="F814" s="9"/>
      <c r="G814" s="9"/>
      <c r="H814" s="9"/>
      <c r="I814" s="24"/>
      <c r="J814" s="9"/>
      <c r="K814" s="9"/>
      <c r="L814" s="20">
        <f>IF(AND(ISNUMBER($A814),$B814&lt;&gt;"",$D814&lt;&gt;"Examen partiel (ne relance pas)"),IF($A814&lt;=TODAY(),$A814,0),0)</f>
      </c>
      <c r="M814" s="20">
        <f>IF($L814=0,"",$B814&amp;"|"&amp;$L814)</f>
      </c>
    </row>
    <row r="815" spans="1:13" x14ac:dyDescent="0.25">
      <c r="A815" s="24"/>
      <c r="B815" s="9"/>
      <c r="C815" s="20">
        <f>IF($B815="","",IFERROR(INDEX(Parc!$B$2:$B$301,MATCH($B815,Parc!$A$2:$A$301,0)),"Réf. inconnue"))</f>
      </c>
      <c r="D815" s="9"/>
      <c r="E815" s="9"/>
      <c r="F815" s="9"/>
      <c r="G815" s="9"/>
      <c r="H815" s="9"/>
      <c r="I815" s="24"/>
      <c r="J815" s="9"/>
      <c r="K815" s="9"/>
      <c r="L815" s="20">
        <f>IF(AND(ISNUMBER($A815),$B815&lt;&gt;"",$D815&lt;&gt;"Examen partiel (ne relance pas)"),IF($A815&lt;=TODAY(),$A815,0),0)</f>
      </c>
      <c r="M815" s="20">
        <f>IF($L815=0,"",$B815&amp;"|"&amp;$L815)</f>
      </c>
    </row>
    <row r="816" spans="1:13" x14ac:dyDescent="0.25">
      <c r="A816" s="24"/>
      <c r="B816" s="9"/>
      <c r="C816" s="20">
        <f>IF($B816="","",IFERROR(INDEX(Parc!$B$2:$B$301,MATCH($B816,Parc!$A$2:$A$301,0)),"Réf. inconnue"))</f>
      </c>
      <c r="D816" s="9"/>
      <c r="E816" s="9"/>
      <c r="F816" s="9"/>
      <c r="G816" s="9"/>
      <c r="H816" s="9"/>
      <c r="I816" s="24"/>
      <c r="J816" s="9"/>
      <c r="K816" s="9"/>
      <c r="L816" s="20">
        <f>IF(AND(ISNUMBER($A816),$B816&lt;&gt;"",$D816&lt;&gt;"Examen partiel (ne relance pas)"),IF($A816&lt;=TODAY(),$A816,0),0)</f>
      </c>
      <c r="M816" s="20">
        <f>IF($L816=0,"",$B816&amp;"|"&amp;$L816)</f>
      </c>
    </row>
    <row r="817" spans="1:13" x14ac:dyDescent="0.25">
      <c r="A817" s="24"/>
      <c r="B817" s="9"/>
      <c r="C817" s="20">
        <f>IF($B817="","",IFERROR(INDEX(Parc!$B$2:$B$301,MATCH($B817,Parc!$A$2:$A$301,0)),"Réf. inconnue"))</f>
      </c>
      <c r="D817" s="9"/>
      <c r="E817" s="9"/>
      <c r="F817" s="9"/>
      <c r="G817" s="9"/>
      <c r="H817" s="9"/>
      <c r="I817" s="24"/>
      <c r="J817" s="9"/>
      <c r="K817" s="9"/>
      <c r="L817" s="20">
        <f>IF(AND(ISNUMBER($A817),$B817&lt;&gt;"",$D817&lt;&gt;"Examen partiel (ne relance pas)"),IF($A817&lt;=TODAY(),$A817,0),0)</f>
      </c>
      <c r="M817" s="20">
        <f>IF($L817=0,"",$B817&amp;"|"&amp;$L817)</f>
      </c>
    </row>
    <row r="818" spans="1:13" x14ac:dyDescent="0.25">
      <c r="A818" s="24"/>
      <c r="B818" s="9"/>
      <c r="C818" s="20">
        <f>IF($B818="","",IFERROR(INDEX(Parc!$B$2:$B$301,MATCH($B818,Parc!$A$2:$A$301,0)),"Réf. inconnue"))</f>
      </c>
      <c r="D818" s="9"/>
      <c r="E818" s="9"/>
      <c r="F818" s="9"/>
      <c r="G818" s="9"/>
      <c r="H818" s="9"/>
      <c r="I818" s="24"/>
      <c r="J818" s="9"/>
      <c r="K818" s="9"/>
      <c r="L818" s="20">
        <f>IF(AND(ISNUMBER($A818),$B818&lt;&gt;"",$D818&lt;&gt;"Examen partiel (ne relance pas)"),IF($A818&lt;=TODAY(),$A818,0),0)</f>
      </c>
      <c r="M818" s="20">
        <f>IF($L818=0,"",$B818&amp;"|"&amp;$L818)</f>
      </c>
    </row>
    <row r="819" spans="1:13" x14ac:dyDescent="0.25">
      <c r="A819" s="24"/>
      <c r="B819" s="9"/>
      <c r="C819" s="20">
        <f>IF($B819="","",IFERROR(INDEX(Parc!$B$2:$B$301,MATCH($B819,Parc!$A$2:$A$301,0)),"Réf. inconnue"))</f>
      </c>
      <c r="D819" s="9"/>
      <c r="E819" s="9"/>
      <c r="F819" s="9"/>
      <c r="G819" s="9"/>
      <c r="H819" s="9"/>
      <c r="I819" s="24"/>
      <c r="J819" s="9"/>
      <c r="K819" s="9"/>
      <c r="L819" s="20">
        <f>IF(AND(ISNUMBER($A819),$B819&lt;&gt;"",$D819&lt;&gt;"Examen partiel (ne relance pas)"),IF($A819&lt;=TODAY(),$A819,0),0)</f>
      </c>
      <c r="M819" s="20">
        <f>IF($L819=0,"",$B819&amp;"|"&amp;$L819)</f>
      </c>
    </row>
    <row r="820" spans="1:13" x14ac:dyDescent="0.25">
      <c r="A820" s="24"/>
      <c r="B820" s="9"/>
      <c r="C820" s="20">
        <f>IF($B820="","",IFERROR(INDEX(Parc!$B$2:$B$301,MATCH($B820,Parc!$A$2:$A$301,0)),"Réf. inconnue"))</f>
      </c>
      <c r="D820" s="9"/>
      <c r="E820" s="9"/>
      <c r="F820" s="9"/>
      <c r="G820" s="9"/>
      <c r="H820" s="9"/>
      <c r="I820" s="24"/>
      <c r="J820" s="9"/>
      <c r="K820" s="9"/>
      <c r="L820" s="20">
        <f>IF(AND(ISNUMBER($A820),$B820&lt;&gt;"",$D820&lt;&gt;"Examen partiel (ne relance pas)"),IF($A820&lt;=TODAY(),$A820,0),0)</f>
      </c>
      <c r="M820" s="20">
        <f>IF($L820=0,"",$B820&amp;"|"&amp;$L820)</f>
      </c>
    </row>
    <row r="821" spans="1:13" x14ac:dyDescent="0.25">
      <c r="A821" s="24"/>
      <c r="B821" s="9"/>
      <c r="C821" s="20">
        <f>IF($B821="","",IFERROR(INDEX(Parc!$B$2:$B$301,MATCH($B821,Parc!$A$2:$A$301,0)),"Réf. inconnue"))</f>
      </c>
      <c r="D821" s="9"/>
      <c r="E821" s="9"/>
      <c r="F821" s="9"/>
      <c r="G821" s="9"/>
      <c r="H821" s="9"/>
      <c r="I821" s="24"/>
      <c r="J821" s="9"/>
      <c r="K821" s="9"/>
      <c r="L821" s="20">
        <f>IF(AND(ISNUMBER($A821),$B821&lt;&gt;"",$D821&lt;&gt;"Examen partiel (ne relance pas)"),IF($A821&lt;=TODAY(),$A821,0),0)</f>
      </c>
      <c r="M821" s="20">
        <f>IF($L821=0,"",$B821&amp;"|"&amp;$L821)</f>
      </c>
    </row>
    <row r="822" spans="1:13" x14ac:dyDescent="0.25">
      <c r="A822" s="24"/>
      <c r="B822" s="9"/>
      <c r="C822" s="20">
        <f>IF($B822="","",IFERROR(INDEX(Parc!$B$2:$B$301,MATCH($B822,Parc!$A$2:$A$301,0)),"Réf. inconnue"))</f>
      </c>
      <c r="D822" s="9"/>
      <c r="E822" s="9"/>
      <c r="F822" s="9"/>
      <c r="G822" s="9"/>
      <c r="H822" s="9"/>
      <c r="I822" s="24"/>
      <c r="J822" s="9"/>
      <c r="K822" s="9"/>
      <c r="L822" s="20">
        <f>IF(AND(ISNUMBER($A822),$B822&lt;&gt;"",$D822&lt;&gt;"Examen partiel (ne relance pas)"),IF($A822&lt;=TODAY(),$A822,0),0)</f>
      </c>
      <c r="M822" s="20">
        <f>IF($L822=0,"",$B822&amp;"|"&amp;$L822)</f>
      </c>
    </row>
    <row r="823" spans="1:13" x14ac:dyDescent="0.25">
      <c r="A823" s="24"/>
      <c r="B823" s="9"/>
      <c r="C823" s="20">
        <f>IF($B823="","",IFERROR(INDEX(Parc!$B$2:$B$301,MATCH($B823,Parc!$A$2:$A$301,0)),"Réf. inconnue"))</f>
      </c>
      <c r="D823" s="9"/>
      <c r="E823" s="9"/>
      <c r="F823" s="9"/>
      <c r="G823" s="9"/>
      <c r="H823" s="9"/>
      <c r="I823" s="24"/>
      <c r="J823" s="9"/>
      <c r="K823" s="9"/>
      <c r="L823" s="20">
        <f>IF(AND(ISNUMBER($A823),$B823&lt;&gt;"",$D823&lt;&gt;"Examen partiel (ne relance pas)"),IF($A823&lt;=TODAY(),$A823,0),0)</f>
      </c>
      <c r="M823" s="20">
        <f>IF($L823=0,"",$B823&amp;"|"&amp;$L823)</f>
      </c>
    </row>
    <row r="824" spans="1:13" x14ac:dyDescent="0.25">
      <c r="A824" s="24"/>
      <c r="B824" s="9"/>
      <c r="C824" s="20">
        <f>IF($B824="","",IFERROR(INDEX(Parc!$B$2:$B$301,MATCH($B824,Parc!$A$2:$A$301,0)),"Réf. inconnue"))</f>
      </c>
      <c r="D824" s="9"/>
      <c r="E824" s="9"/>
      <c r="F824" s="9"/>
      <c r="G824" s="9"/>
      <c r="H824" s="9"/>
      <c r="I824" s="24"/>
      <c r="J824" s="9"/>
      <c r="K824" s="9"/>
      <c r="L824" s="20">
        <f>IF(AND(ISNUMBER($A824),$B824&lt;&gt;"",$D824&lt;&gt;"Examen partiel (ne relance pas)"),IF($A824&lt;=TODAY(),$A824,0),0)</f>
      </c>
      <c r="M824" s="20">
        <f>IF($L824=0,"",$B824&amp;"|"&amp;$L824)</f>
      </c>
    </row>
    <row r="825" spans="1:13" x14ac:dyDescent="0.25">
      <c r="A825" s="24"/>
      <c r="B825" s="9"/>
      <c r="C825" s="20">
        <f>IF($B825="","",IFERROR(INDEX(Parc!$B$2:$B$301,MATCH($B825,Parc!$A$2:$A$301,0)),"Réf. inconnue"))</f>
      </c>
      <c r="D825" s="9"/>
      <c r="E825" s="9"/>
      <c r="F825" s="9"/>
      <c r="G825" s="9"/>
      <c r="H825" s="9"/>
      <c r="I825" s="24"/>
      <c r="J825" s="9"/>
      <c r="K825" s="9"/>
      <c r="L825" s="20">
        <f>IF(AND(ISNUMBER($A825),$B825&lt;&gt;"",$D825&lt;&gt;"Examen partiel (ne relance pas)"),IF($A825&lt;=TODAY(),$A825,0),0)</f>
      </c>
      <c r="M825" s="20">
        <f>IF($L825=0,"",$B825&amp;"|"&amp;$L825)</f>
      </c>
    </row>
    <row r="826" spans="1:13" x14ac:dyDescent="0.25">
      <c r="A826" s="24"/>
      <c r="B826" s="9"/>
      <c r="C826" s="20">
        <f>IF($B826="","",IFERROR(INDEX(Parc!$B$2:$B$301,MATCH($B826,Parc!$A$2:$A$301,0)),"Réf. inconnue"))</f>
      </c>
      <c r="D826" s="9"/>
      <c r="E826" s="9"/>
      <c r="F826" s="9"/>
      <c r="G826" s="9"/>
      <c r="H826" s="9"/>
      <c r="I826" s="24"/>
      <c r="J826" s="9"/>
      <c r="K826" s="9"/>
      <c r="L826" s="20">
        <f>IF(AND(ISNUMBER($A826),$B826&lt;&gt;"",$D826&lt;&gt;"Examen partiel (ne relance pas)"),IF($A826&lt;=TODAY(),$A826,0),0)</f>
      </c>
      <c r="M826" s="20">
        <f>IF($L826=0,"",$B826&amp;"|"&amp;$L826)</f>
      </c>
    </row>
    <row r="827" spans="1:13" x14ac:dyDescent="0.25">
      <c r="A827" s="24"/>
      <c r="B827" s="9"/>
      <c r="C827" s="20">
        <f>IF($B827="","",IFERROR(INDEX(Parc!$B$2:$B$301,MATCH($B827,Parc!$A$2:$A$301,0)),"Réf. inconnue"))</f>
      </c>
      <c r="D827" s="9"/>
      <c r="E827" s="9"/>
      <c r="F827" s="9"/>
      <c r="G827" s="9"/>
      <c r="H827" s="9"/>
      <c r="I827" s="24"/>
      <c r="J827" s="9"/>
      <c r="K827" s="9"/>
      <c r="L827" s="20">
        <f>IF(AND(ISNUMBER($A827),$B827&lt;&gt;"",$D827&lt;&gt;"Examen partiel (ne relance pas)"),IF($A827&lt;=TODAY(),$A827,0),0)</f>
      </c>
      <c r="M827" s="20">
        <f>IF($L827=0,"",$B827&amp;"|"&amp;$L827)</f>
      </c>
    </row>
    <row r="828" spans="1:13" x14ac:dyDescent="0.25">
      <c r="A828" s="24"/>
      <c r="B828" s="9"/>
      <c r="C828" s="20">
        <f>IF($B828="","",IFERROR(INDEX(Parc!$B$2:$B$301,MATCH($B828,Parc!$A$2:$A$301,0)),"Réf. inconnue"))</f>
      </c>
      <c r="D828" s="9"/>
      <c r="E828" s="9"/>
      <c r="F828" s="9"/>
      <c r="G828" s="9"/>
      <c r="H828" s="9"/>
      <c r="I828" s="24"/>
      <c r="J828" s="9"/>
      <c r="K828" s="9"/>
      <c r="L828" s="20">
        <f>IF(AND(ISNUMBER($A828),$B828&lt;&gt;"",$D828&lt;&gt;"Examen partiel (ne relance pas)"),IF($A828&lt;=TODAY(),$A828,0),0)</f>
      </c>
      <c r="M828" s="20">
        <f>IF($L828=0,"",$B828&amp;"|"&amp;$L828)</f>
      </c>
    </row>
    <row r="829" spans="1:13" x14ac:dyDescent="0.25">
      <c r="A829" s="24"/>
      <c r="B829" s="9"/>
      <c r="C829" s="20">
        <f>IF($B829="","",IFERROR(INDEX(Parc!$B$2:$B$301,MATCH($B829,Parc!$A$2:$A$301,0)),"Réf. inconnue"))</f>
      </c>
      <c r="D829" s="9"/>
      <c r="E829" s="9"/>
      <c r="F829" s="9"/>
      <c r="G829" s="9"/>
      <c r="H829" s="9"/>
      <c r="I829" s="24"/>
      <c r="J829" s="9"/>
      <c r="K829" s="9"/>
      <c r="L829" s="20">
        <f>IF(AND(ISNUMBER($A829),$B829&lt;&gt;"",$D829&lt;&gt;"Examen partiel (ne relance pas)"),IF($A829&lt;=TODAY(),$A829,0),0)</f>
      </c>
      <c r="M829" s="20">
        <f>IF($L829=0,"",$B829&amp;"|"&amp;$L829)</f>
      </c>
    </row>
    <row r="830" spans="1:13" x14ac:dyDescent="0.25">
      <c r="A830" s="24"/>
      <c r="B830" s="9"/>
      <c r="C830" s="20">
        <f>IF($B830="","",IFERROR(INDEX(Parc!$B$2:$B$301,MATCH($B830,Parc!$A$2:$A$301,0)),"Réf. inconnue"))</f>
      </c>
      <c r="D830" s="9"/>
      <c r="E830" s="9"/>
      <c r="F830" s="9"/>
      <c r="G830" s="9"/>
      <c r="H830" s="9"/>
      <c r="I830" s="24"/>
      <c r="J830" s="9"/>
      <c r="K830" s="9"/>
      <c r="L830" s="20">
        <f>IF(AND(ISNUMBER($A830),$B830&lt;&gt;"",$D830&lt;&gt;"Examen partiel (ne relance pas)"),IF($A830&lt;=TODAY(),$A830,0),0)</f>
      </c>
      <c r="M830" s="20">
        <f>IF($L830=0,"",$B830&amp;"|"&amp;$L830)</f>
      </c>
    </row>
    <row r="831" spans="1:13" x14ac:dyDescent="0.25">
      <c r="A831" s="24"/>
      <c r="B831" s="9"/>
      <c r="C831" s="20">
        <f>IF($B831="","",IFERROR(INDEX(Parc!$B$2:$B$301,MATCH($B831,Parc!$A$2:$A$301,0)),"Réf. inconnue"))</f>
      </c>
      <c r="D831" s="9"/>
      <c r="E831" s="9"/>
      <c r="F831" s="9"/>
      <c r="G831" s="9"/>
      <c r="H831" s="9"/>
      <c r="I831" s="24"/>
      <c r="J831" s="9"/>
      <c r="K831" s="9"/>
      <c r="L831" s="20">
        <f>IF(AND(ISNUMBER($A831),$B831&lt;&gt;"",$D831&lt;&gt;"Examen partiel (ne relance pas)"),IF($A831&lt;=TODAY(),$A831,0),0)</f>
      </c>
      <c r="M831" s="20">
        <f>IF($L831=0,"",$B831&amp;"|"&amp;$L831)</f>
      </c>
    </row>
    <row r="832" spans="1:13" x14ac:dyDescent="0.25">
      <c r="A832" s="24"/>
      <c r="B832" s="9"/>
      <c r="C832" s="20">
        <f>IF($B832="","",IFERROR(INDEX(Parc!$B$2:$B$301,MATCH($B832,Parc!$A$2:$A$301,0)),"Réf. inconnue"))</f>
      </c>
      <c r="D832" s="9"/>
      <c r="E832" s="9"/>
      <c r="F832" s="9"/>
      <c r="G832" s="9"/>
      <c r="H832" s="9"/>
      <c r="I832" s="24"/>
      <c r="J832" s="9"/>
      <c r="K832" s="9"/>
      <c r="L832" s="20">
        <f>IF(AND(ISNUMBER($A832),$B832&lt;&gt;"",$D832&lt;&gt;"Examen partiel (ne relance pas)"),IF($A832&lt;=TODAY(),$A832,0),0)</f>
      </c>
      <c r="M832" s="20">
        <f>IF($L832=0,"",$B832&amp;"|"&amp;$L832)</f>
      </c>
    </row>
    <row r="833" spans="1:13" x14ac:dyDescent="0.25">
      <c r="A833" s="24"/>
      <c r="B833" s="9"/>
      <c r="C833" s="20">
        <f>IF($B833="","",IFERROR(INDEX(Parc!$B$2:$B$301,MATCH($B833,Parc!$A$2:$A$301,0)),"Réf. inconnue"))</f>
      </c>
      <c r="D833" s="9"/>
      <c r="E833" s="9"/>
      <c r="F833" s="9"/>
      <c r="G833" s="9"/>
      <c r="H833" s="9"/>
      <c r="I833" s="24"/>
      <c r="J833" s="9"/>
      <c r="K833" s="9"/>
      <c r="L833" s="20">
        <f>IF(AND(ISNUMBER($A833),$B833&lt;&gt;"",$D833&lt;&gt;"Examen partiel (ne relance pas)"),IF($A833&lt;=TODAY(),$A833,0),0)</f>
      </c>
      <c r="M833" s="20">
        <f>IF($L833=0,"",$B833&amp;"|"&amp;$L833)</f>
      </c>
    </row>
    <row r="834" spans="1:13" x14ac:dyDescent="0.25">
      <c r="A834" s="24"/>
      <c r="B834" s="9"/>
      <c r="C834" s="20">
        <f>IF($B834="","",IFERROR(INDEX(Parc!$B$2:$B$301,MATCH($B834,Parc!$A$2:$A$301,0)),"Réf. inconnue"))</f>
      </c>
      <c r="D834" s="9"/>
      <c r="E834" s="9"/>
      <c r="F834" s="9"/>
      <c r="G834" s="9"/>
      <c r="H834" s="9"/>
      <c r="I834" s="24"/>
      <c r="J834" s="9"/>
      <c r="K834" s="9"/>
      <c r="L834" s="20">
        <f>IF(AND(ISNUMBER($A834),$B834&lt;&gt;"",$D834&lt;&gt;"Examen partiel (ne relance pas)"),IF($A834&lt;=TODAY(),$A834,0),0)</f>
      </c>
      <c r="M834" s="20">
        <f>IF($L834=0,"",$B834&amp;"|"&amp;$L834)</f>
      </c>
    </row>
    <row r="835" spans="1:13" x14ac:dyDescent="0.25">
      <c r="A835" s="24"/>
      <c r="B835" s="9"/>
      <c r="C835" s="20">
        <f>IF($B835="","",IFERROR(INDEX(Parc!$B$2:$B$301,MATCH($B835,Parc!$A$2:$A$301,0)),"Réf. inconnue"))</f>
      </c>
      <c r="D835" s="9"/>
      <c r="E835" s="9"/>
      <c r="F835" s="9"/>
      <c r="G835" s="9"/>
      <c r="H835" s="9"/>
      <c r="I835" s="24"/>
      <c r="J835" s="9"/>
      <c r="K835" s="9"/>
      <c r="L835" s="20">
        <f>IF(AND(ISNUMBER($A835),$B835&lt;&gt;"",$D835&lt;&gt;"Examen partiel (ne relance pas)"),IF($A835&lt;=TODAY(),$A835,0),0)</f>
      </c>
      <c r="M835" s="20">
        <f>IF($L835=0,"",$B835&amp;"|"&amp;$L835)</f>
      </c>
    </row>
    <row r="836" spans="1:13" x14ac:dyDescent="0.25">
      <c r="A836" s="24"/>
      <c r="B836" s="9"/>
      <c r="C836" s="20">
        <f>IF($B836="","",IFERROR(INDEX(Parc!$B$2:$B$301,MATCH($B836,Parc!$A$2:$A$301,0)),"Réf. inconnue"))</f>
      </c>
      <c r="D836" s="9"/>
      <c r="E836" s="9"/>
      <c r="F836" s="9"/>
      <c r="G836" s="9"/>
      <c r="H836" s="9"/>
      <c r="I836" s="24"/>
      <c r="J836" s="9"/>
      <c r="K836" s="9"/>
      <c r="L836" s="20">
        <f>IF(AND(ISNUMBER($A836),$B836&lt;&gt;"",$D836&lt;&gt;"Examen partiel (ne relance pas)"),IF($A836&lt;=TODAY(),$A836,0),0)</f>
      </c>
      <c r="M836" s="20">
        <f>IF($L836=0,"",$B836&amp;"|"&amp;$L836)</f>
      </c>
    </row>
    <row r="837" spans="1:13" x14ac:dyDescent="0.25">
      <c r="A837" s="24"/>
      <c r="B837" s="9"/>
      <c r="C837" s="20">
        <f>IF($B837="","",IFERROR(INDEX(Parc!$B$2:$B$301,MATCH($B837,Parc!$A$2:$A$301,0)),"Réf. inconnue"))</f>
      </c>
      <c r="D837" s="9"/>
      <c r="E837" s="9"/>
      <c r="F837" s="9"/>
      <c r="G837" s="9"/>
      <c r="H837" s="9"/>
      <c r="I837" s="24"/>
      <c r="J837" s="9"/>
      <c r="K837" s="9"/>
      <c r="L837" s="20">
        <f>IF(AND(ISNUMBER($A837),$B837&lt;&gt;"",$D837&lt;&gt;"Examen partiel (ne relance pas)"),IF($A837&lt;=TODAY(),$A837,0),0)</f>
      </c>
      <c r="M837" s="20">
        <f>IF($L837=0,"",$B837&amp;"|"&amp;$L837)</f>
      </c>
    </row>
    <row r="838" spans="1:13" x14ac:dyDescent="0.25">
      <c r="A838" s="24"/>
      <c r="B838" s="9"/>
      <c r="C838" s="20">
        <f>IF($B838="","",IFERROR(INDEX(Parc!$B$2:$B$301,MATCH($B838,Parc!$A$2:$A$301,0)),"Réf. inconnue"))</f>
      </c>
      <c r="D838" s="9"/>
      <c r="E838" s="9"/>
      <c r="F838" s="9"/>
      <c r="G838" s="9"/>
      <c r="H838" s="9"/>
      <c r="I838" s="24"/>
      <c r="J838" s="9"/>
      <c r="K838" s="9"/>
      <c r="L838" s="20">
        <f>IF(AND(ISNUMBER($A838),$B838&lt;&gt;"",$D838&lt;&gt;"Examen partiel (ne relance pas)"),IF($A838&lt;=TODAY(),$A838,0),0)</f>
      </c>
      <c r="M838" s="20">
        <f>IF($L838=0,"",$B838&amp;"|"&amp;$L838)</f>
      </c>
    </row>
    <row r="839" spans="1:13" x14ac:dyDescent="0.25">
      <c r="A839" s="24"/>
      <c r="B839" s="9"/>
      <c r="C839" s="20">
        <f>IF($B839="","",IFERROR(INDEX(Parc!$B$2:$B$301,MATCH($B839,Parc!$A$2:$A$301,0)),"Réf. inconnue"))</f>
      </c>
      <c r="D839" s="9"/>
      <c r="E839" s="9"/>
      <c r="F839" s="9"/>
      <c r="G839" s="9"/>
      <c r="H839" s="9"/>
      <c r="I839" s="24"/>
      <c r="J839" s="9"/>
      <c r="K839" s="9"/>
      <c r="L839" s="20">
        <f>IF(AND(ISNUMBER($A839),$B839&lt;&gt;"",$D839&lt;&gt;"Examen partiel (ne relance pas)"),IF($A839&lt;=TODAY(),$A839,0),0)</f>
      </c>
      <c r="M839" s="20">
        <f>IF($L839=0,"",$B839&amp;"|"&amp;$L839)</f>
      </c>
    </row>
    <row r="840" spans="1:13" x14ac:dyDescent="0.25">
      <c r="A840" s="24"/>
      <c r="B840" s="9"/>
      <c r="C840" s="20">
        <f>IF($B840="","",IFERROR(INDEX(Parc!$B$2:$B$301,MATCH($B840,Parc!$A$2:$A$301,0)),"Réf. inconnue"))</f>
      </c>
      <c r="D840" s="9"/>
      <c r="E840" s="9"/>
      <c r="F840" s="9"/>
      <c r="G840" s="9"/>
      <c r="H840" s="9"/>
      <c r="I840" s="24"/>
      <c r="J840" s="9"/>
      <c r="K840" s="9"/>
      <c r="L840" s="20">
        <f>IF(AND(ISNUMBER($A840),$B840&lt;&gt;"",$D840&lt;&gt;"Examen partiel (ne relance pas)"),IF($A840&lt;=TODAY(),$A840,0),0)</f>
      </c>
      <c r="M840" s="20">
        <f>IF($L840=0,"",$B840&amp;"|"&amp;$L840)</f>
      </c>
    </row>
    <row r="841" spans="1:13" x14ac:dyDescent="0.25">
      <c r="A841" s="24"/>
      <c r="B841" s="9"/>
      <c r="C841" s="20">
        <f>IF($B841="","",IFERROR(INDEX(Parc!$B$2:$B$301,MATCH($B841,Parc!$A$2:$A$301,0)),"Réf. inconnue"))</f>
      </c>
      <c r="D841" s="9"/>
      <c r="E841" s="9"/>
      <c r="F841" s="9"/>
      <c r="G841" s="9"/>
      <c r="H841" s="9"/>
      <c r="I841" s="24"/>
      <c r="J841" s="9"/>
      <c r="K841" s="9"/>
      <c r="L841" s="20">
        <f>IF(AND(ISNUMBER($A841),$B841&lt;&gt;"",$D841&lt;&gt;"Examen partiel (ne relance pas)"),IF($A841&lt;=TODAY(),$A841,0),0)</f>
      </c>
      <c r="M841" s="20">
        <f>IF($L841=0,"",$B841&amp;"|"&amp;$L841)</f>
      </c>
    </row>
    <row r="842" spans="1:13" x14ac:dyDescent="0.25">
      <c r="A842" s="24"/>
      <c r="B842" s="9"/>
      <c r="C842" s="20">
        <f>IF($B842="","",IFERROR(INDEX(Parc!$B$2:$B$301,MATCH($B842,Parc!$A$2:$A$301,0)),"Réf. inconnue"))</f>
      </c>
      <c r="D842" s="9"/>
      <c r="E842" s="9"/>
      <c r="F842" s="9"/>
      <c r="G842" s="9"/>
      <c r="H842" s="9"/>
      <c r="I842" s="24"/>
      <c r="J842" s="9"/>
      <c r="K842" s="9"/>
      <c r="L842" s="20">
        <f>IF(AND(ISNUMBER($A842),$B842&lt;&gt;"",$D842&lt;&gt;"Examen partiel (ne relance pas)"),IF($A842&lt;=TODAY(),$A842,0),0)</f>
      </c>
      <c r="M842" s="20">
        <f>IF($L842=0,"",$B842&amp;"|"&amp;$L842)</f>
      </c>
    </row>
    <row r="843" spans="1:13" x14ac:dyDescent="0.25">
      <c r="A843" s="24"/>
      <c r="B843" s="9"/>
      <c r="C843" s="20">
        <f>IF($B843="","",IFERROR(INDEX(Parc!$B$2:$B$301,MATCH($B843,Parc!$A$2:$A$301,0)),"Réf. inconnue"))</f>
      </c>
      <c r="D843" s="9"/>
      <c r="E843" s="9"/>
      <c r="F843" s="9"/>
      <c r="G843" s="9"/>
      <c r="H843" s="9"/>
      <c r="I843" s="24"/>
      <c r="J843" s="9"/>
      <c r="K843" s="9"/>
      <c r="L843" s="20">
        <f>IF(AND(ISNUMBER($A843),$B843&lt;&gt;"",$D843&lt;&gt;"Examen partiel (ne relance pas)"),IF($A843&lt;=TODAY(),$A843,0),0)</f>
      </c>
      <c r="M843" s="20">
        <f>IF($L843=0,"",$B843&amp;"|"&amp;$L843)</f>
      </c>
    </row>
    <row r="844" spans="1:13" x14ac:dyDescent="0.25">
      <c r="A844" s="24"/>
      <c r="B844" s="9"/>
      <c r="C844" s="20">
        <f>IF($B844="","",IFERROR(INDEX(Parc!$B$2:$B$301,MATCH($B844,Parc!$A$2:$A$301,0)),"Réf. inconnue"))</f>
      </c>
      <c r="D844" s="9"/>
      <c r="E844" s="9"/>
      <c r="F844" s="9"/>
      <c r="G844" s="9"/>
      <c r="H844" s="9"/>
      <c r="I844" s="24"/>
      <c r="J844" s="9"/>
      <c r="K844" s="9"/>
      <c r="L844" s="20">
        <f>IF(AND(ISNUMBER($A844),$B844&lt;&gt;"",$D844&lt;&gt;"Examen partiel (ne relance pas)"),IF($A844&lt;=TODAY(),$A844,0),0)</f>
      </c>
      <c r="M844" s="20">
        <f>IF($L844=0,"",$B844&amp;"|"&amp;$L844)</f>
      </c>
    </row>
    <row r="845" spans="1:13" x14ac:dyDescent="0.25">
      <c r="A845" s="24"/>
      <c r="B845" s="9"/>
      <c r="C845" s="20">
        <f>IF($B845="","",IFERROR(INDEX(Parc!$B$2:$B$301,MATCH($B845,Parc!$A$2:$A$301,0)),"Réf. inconnue"))</f>
      </c>
      <c r="D845" s="9"/>
      <c r="E845" s="9"/>
      <c r="F845" s="9"/>
      <c r="G845" s="9"/>
      <c r="H845" s="9"/>
      <c r="I845" s="24"/>
      <c r="J845" s="9"/>
      <c r="K845" s="9"/>
      <c r="L845" s="20">
        <f>IF(AND(ISNUMBER($A845),$B845&lt;&gt;"",$D845&lt;&gt;"Examen partiel (ne relance pas)"),IF($A845&lt;=TODAY(),$A845,0),0)</f>
      </c>
      <c r="M845" s="20">
        <f>IF($L845=0,"",$B845&amp;"|"&amp;$L845)</f>
      </c>
    </row>
    <row r="846" spans="1:13" x14ac:dyDescent="0.25">
      <c r="A846" s="24"/>
      <c r="B846" s="9"/>
      <c r="C846" s="20">
        <f>IF($B846="","",IFERROR(INDEX(Parc!$B$2:$B$301,MATCH($B846,Parc!$A$2:$A$301,0)),"Réf. inconnue"))</f>
      </c>
      <c r="D846" s="9"/>
      <c r="E846" s="9"/>
      <c r="F846" s="9"/>
      <c r="G846" s="9"/>
      <c r="H846" s="9"/>
      <c r="I846" s="24"/>
      <c r="J846" s="9"/>
      <c r="K846" s="9"/>
      <c r="L846" s="20">
        <f>IF(AND(ISNUMBER($A846),$B846&lt;&gt;"",$D846&lt;&gt;"Examen partiel (ne relance pas)"),IF($A846&lt;=TODAY(),$A846,0),0)</f>
      </c>
      <c r="M846" s="20">
        <f>IF($L846=0,"",$B846&amp;"|"&amp;$L846)</f>
      </c>
    </row>
    <row r="847" spans="1:13" x14ac:dyDescent="0.25">
      <c r="A847" s="24"/>
      <c r="B847" s="9"/>
      <c r="C847" s="20">
        <f>IF($B847="","",IFERROR(INDEX(Parc!$B$2:$B$301,MATCH($B847,Parc!$A$2:$A$301,0)),"Réf. inconnue"))</f>
      </c>
      <c r="D847" s="9"/>
      <c r="E847" s="9"/>
      <c r="F847" s="9"/>
      <c r="G847" s="9"/>
      <c r="H847" s="9"/>
      <c r="I847" s="24"/>
      <c r="J847" s="9"/>
      <c r="K847" s="9"/>
      <c r="L847" s="20">
        <f>IF(AND(ISNUMBER($A847),$B847&lt;&gt;"",$D847&lt;&gt;"Examen partiel (ne relance pas)"),IF($A847&lt;=TODAY(),$A847,0),0)</f>
      </c>
      <c r="M847" s="20">
        <f>IF($L847=0,"",$B847&amp;"|"&amp;$L847)</f>
      </c>
    </row>
    <row r="848" spans="1:13" x14ac:dyDescent="0.25">
      <c r="A848" s="24"/>
      <c r="B848" s="9"/>
      <c r="C848" s="20">
        <f>IF($B848="","",IFERROR(INDEX(Parc!$B$2:$B$301,MATCH($B848,Parc!$A$2:$A$301,0)),"Réf. inconnue"))</f>
      </c>
      <c r="D848" s="9"/>
      <c r="E848" s="9"/>
      <c r="F848" s="9"/>
      <c r="G848" s="9"/>
      <c r="H848" s="9"/>
      <c r="I848" s="24"/>
      <c r="J848" s="9"/>
      <c r="K848" s="9"/>
      <c r="L848" s="20">
        <f>IF(AND(ISNUMBER($A848),$B848&lt;&gt;"",$D848&lt;&gt;"Examen partiel (ne relance pas)"),IF($A848&lt;=TODAY(),$A848,0),0)</f>
      </c>
      <c r="M848" s="20">
        <f>IF($L848=0,"",$B848&amp;"|"&amp;$L848)</f>
      </c>
    </row>
    <row r="849" spans="1:13" x14ac:dyDescent="0.25">
      <c r="A849" s="24"/>
      <c r="B849" s="9"/>
      <c r="C849" s="20">
        <f>IF($B849="","",IFERROR(INDEX(Parc!$B$2:$B$301,MATCH($B849,Parc!$A$2:$A$301,0)),"Réf. inconnue"))</f>
      </c>
      <c r="D849" s="9"/>
      <c r="E849" s="9"/>
      <c r="F849" s="9"/>
      <c r="G849" s="9"/>
      <c r="H849" s="9"/>
      <c r="I849" s="24"/>
      <c r="J849" s="9"/>
      <c r="K849" s="9"/>
      <c r="L849" s="20">
        <f>IF(AND(ISNUMBER($A849),$B849&lt;&gt;"",$D849&lt;&gt;"Examen partiel (ne relance pas)"),IF($A849&lt;=TODAY(),$A849,0),0)</f>
      </c>
      <c r="M849" s="20">
        <f>IF($L849=0,"",$B849&amp;"|"&amp;$L849)</f>
      </c>
    </row>
    <row r="850" spans="1:13" x14ac:dyDescent="0.25">
      <c r="A850" s="24"/>
      <c r="B850" s="9"/>
      <c r="C850" s="20">
        <f>IF($B850="","",IFERROR(INDEX(Parc!$B$2:$B$301,MATCH($B850,Parc!$A$2:$A$301,0)),"Réf. inconnue"))</f>
      </c>
      <c r="D850" s="9"/>
      <c r="E850" s="9"/>
      <c r="F850" s="9"/>
      <c r="G850" s="9"/>
      <c r="H850" s="9"/>
      <c r="I850" s="24"/>
      <c r="J850" s="9"/>
      <c r="K850" s="9"/>
      <c r="L850" s="20">
        <f>IF(AND(ISNUMBER($A850),$B850&lt;&gt;"",$D850&lt;&gt;"Examen partiel (ne relance pas)"),IF($A850&lt;=TODAY(),$A850,0),0)</f>
      </c>
      <c r="M850" s="20">
        <f>IF($L850=0,"",$B850&amp;"|"&amp;$L850)</f>
      </c>
    </row>
    <row r="851" spans="1:13" x14ac:dyDescent="0.25">
      <c r="A851" s="24"/>
      <c r="B851" s="9"/>
      <c r="C851" s="20">
        <f>IF($B851="","",IFERROR(INDEX(Parc!$B$2:$B$301,MATCH($B851,Parc!$A$2:$A$301,0)),"Réf. inconnue"))</f>
      </c>
      <c r="D851" s="9"/>
      <c r="E851" s="9"/>
      <c r="F851" s="9"/>
      <c r="G851" s="9"/>
      <c r="H851" s="9"/>
      <c r="I851" s="24"/>
      <c r="J851" s="9"/>
      <c r="K851" s="9"/>
      <c r="L851" s="20">
        <f>IF(AND(ISNUMBER($A851),$B851&lt;&gt;"",$D851&lt;&gt;"Examen partiel (ne relance pas)"),IF($A851&lt;=TODAY(),$A851,0),0)</f>
      </c>
      <c r="M851" s="20">
        <f>IF($L851=0,"",$B851&amp;"|"&amp;$L851)</f>
      </c>
    </row>
    <row r="852" spans="1:13" x14ac:dyDescent="0.25">
      <c r="A852" s="24"/>
      <c r="B852" s="9"/>
      <c r="C852" s="20">
        <f>IF($B852="","",IFERROR(INDEX(Parc!$B$2:$B$301,MATCH($B852,Parc!$A$2:$A$301,0)),"Réf. inconnue"))</f>
      </c>
      <c r="D852" s="9"/>
      <c r="E852" s="9"/>
      <c r="F852" s="9"/>
      <c r="G852" s="9"/>
      <c r="H852" s="9"/>
      <c r="I852" s="24"/>
      <c r="J852" s="9"/>
      <c r="K852" s="9"/>
      <c r="L852" s="20">
        <f>IF(AND(ISNUMBER($A852),$B852&lt;&gt;"",$D852&lt;&gt;"Examen partiel (ne relance pas)"),IF($A852&lt;=TODAY(),$A852,0),0)</f>
      </c>
      <c r="M852" s="20">
        <f>IF($L852=0,"",$B852&amp;"|"&amp;$L852)</f>
      </c>
    </row>
    <row r="853" spans="1:13" x14ac:dyDescent="0.25">
      <c r="A853" s="24"/>
      <c r="B853" s="9"/>
      <c r="C853" s="20">
        <f>IF($B853="","",IFERROR(INDEX(Parc!$B$2:$B$301,MATCH($B853,Parc!$A$2:$A$301,0)),"Réf. inconnue"))</f>
      </c>
      <c r="D853" s="9"/>
      <c r="E853" s="9"/>
      <c r="F853" s="9"/>
      <c r="G853" s="9"/>
      <c r="H853" s="9"/>
      <c r="I853" s="24"/>
      <c r="J853" s="9"/>
      <c r="K853" s="9"/>
      <c r="L853" s="20">
        <f>IF(AND(ISNUMBER($A853),$B853&lt;&gt;"",$D853&lt;&gt;"Examen partiel (ne relance pas)"),IF($A853&lt;=TODAY(),$A853,0),0)</f>
      </c>
      <c r="M853" s="20">
        <f>IF($L853=0,"",$B853&amp;"|"&amp;$L853)</f>
      </c>
    </row>
    <row r="854" spans="1:13" x14ac:dyDescent="0.25">
      <c r="A854" s="24"/>
      <c r="B854" s="9"/>
      <c r="C854" s="20">
        <f>IF($B854="","",IFERROR(INDEX(Parc!$B$2:$B$301,MATCH($B854,Parc!$A$2:$A$301,0)),"Réf. inconnue"))</f>
      </c>
      <c r="D854" s="9"/>
      <c r="E854" s="9"/>
      <c r="F854" s="9"/>
      <c r="G854" s="9"/>
      <c r="H854" s="9"/>
      <c r="I854" s="24"/>
      <c r="J854" s="9"/>
      <c r="K854" s="9"/>
      <c r="L854" s="20">
        <f>IF(AND(ISNUMBER($A854),$B854&lt;&gt;"",$D854&lt;&gt;"Examen partiel (ne relance pas)"),IF($A854&lt;=TODAY(),$A854,0),0)</f>
      </c>
      <c r="M854" s="20">
        <f>IF($L854=0,"",$B854&amp;"|"&amp;$L854)</f>
      </c>
    </row>
    <row r="855" spans="1:13" x14ac:dyDescent="0.25">
      <c r="A855" s="24"/>
      <c r="B855" s="9"/>
      <c r="C855" s="20">
        <f>IF($B855="","",IFERROR(INDEX(Parc!$B$2:$B$301,MATCH($B855,Parc!$A$2:$A$301,0)),"Réf. inconnue"))</f>
      </c>
      <c r="D855" s="9"/>
      <c r="E855" s="9"/>
      <c r="F855" s="9"/>
      <c r="G855" s="9"/>
      <c r="H855" s="9"/>
      <c r="I855" s="24"/>
      <c r="J855" s="9"/>
      <c r="K855" s="9"/>
      <c r="L855" s="20">
        <f>IF(AND(ISNUMBER($A855),$B855&lt;&gt;"",$D855&lt;&gt;"Examen partiel (ne relance pas)"),IF($A855&lt;=TODAY(),$A855,0),0)</f>
      </c>
      <c r="M855" s="20">
        <f>IF($L855=0,"",$B855&amp;"|"&amp;$L855)</f>
      </c>
    </row>
    <row r="856" spans="1:13" x14ac:dyDescent="0.25">
      <c r="A856" s="24"/>
      <c r="B856" s="9"/>
      <c r="C856" s="20">
        <f>IF($B856="","",IFERROR(INDEX(Parc!$B$2:$B$301,MATCH($B856,Parc!$A$2:$A$301,0)),"Réf. inconnue"))</f>
      </c>
      <c r="D856" s="9"/>
      <c r="E856" s="9"/>
      <c r="F856" s="9"/>
      <c r="G856" s="9"/>
      <c r="H856" s="9"/>
      <c r="I856" s="24"/>
      <c r="J856" s="9"/>
      <c r="K856" s="9"/>
      <c r="L856" s="20">
        <f>IF(AND(ISNUMBER($A856),$B856&lt;&gt;"",$D856&lt;&gt;"Examen partiel (ne relance pas)"),IF($A856&lt;=TODAY(),$A856,0),0)</f>
      </c>
      <c r="M856" s="20">
        <f>IF($L856=0,"",$B856&amp;"|"&amp;$L856)</f>
      </c>
    </row>
    <row r="857" spans="1:13" x14ac:dyDescent="0.25">
      <c r="A857" s="24"/>
      <c r="B857" s="9"/>
      <c r="C857" s="20">
        <f>IF($B857="","",IFERROR(INDEX(Parc!$B$2:$B$301,MATCH($B857,Parc!$A$2:$A$301,0)),"Réf. inconnue"))</f>
      </c>
      <c r="D857" s="9"/>
      <c r="E857" s="9"/>
      <c r="F857" s="9"/>
      <c r="G857" s="9"/>
      <c r="H857" s="9"/>
      <c r="I857" s="24"/>
      <c r="J857" s="9"/>
      <c r="K857" s="9"/>
      <c r="L857" s="20">
        <f>IF(AND(ISNUMBER($A857),$B857&lt;&gt;"",$D857&lt;&gt;"Examen partiel (ne relance pas)"),IF($A857&lt;=TODAY(),$A857,0),0)</f>
      </c>
      <c r="M857" s="20">
        <f>IF($L857=0,"",$B857&amp;"|"&amp;$L857)</f>
      </c>
    </row>
    <row r="858" spans="1:13" x14ac:dyDescent="0.25">
      <c r="A858" s="24"/>
      <c r="B858" s="9"/>
      <c r="C858" s="20">
        <f>IF($B858="","",IFERROR(INDEX(Parc!$B$2:$B$301,MATCH($B858,Parc!$A$2:$A$301,0)),"Réf. inconnue"))</f>
      </c>
      <c r="D858" s="9"/>
      <c r="E858" s="9"/>
      <c r="F858" s="9"/>
      <c r="G858" s="9"/>
      <c r="H858" s="9"/>
      <c r="I858" s="24"/>
      <c r="J858" s="9"/>
      <c r="K858" s="9"/>
      <c r="L858" s="20">
        <f>IF(AND(ISNUMBER($A858),$B858&lt;&gt;"",$D858&lt;&gt;"Examen partiel (ne relance pas)"),IF($A858&lt;=TODAY(),$A858,0),0)</f>
      </c>
      <c r="M858" s="20">
        <f>IF($L858=0,"",$B858&amp;"|"&amp;$L858)</f>
      </c>
    </row>
    <row r="859" spans="1:13" x14ac:dyDescent="0.25">
      <c r="A859" s="24"/>
      <c r="B859" s="9"/>
      <c r="C859" s="20">
        <f>IF($B859="","",IFERROR(INDEX(Parc!$B$2:$B$301,MATCH($B859,Parc!$A$2:$A$301,0)),"Réf. inconnue"))</f>
      </c>
      <c r="D859" s="9"/>
      <c r="E859" s="9"/>
      <c r="F859" s="9"/>
      <c r="G859" s="9"/>
      <c r="H859" s="9"/>
      <c r="I859" s="24"/>
      <c r="J859" s="9"/>
      <c r="K859" s="9"/>
      <c r="L859" s="20">
        <f>IF(AND(ISNUMBER($A859),$B859&lt;&gt;"",$D859&lt;&gt;"Examen partiel (ne relance pas)"),IF($A859&lt;=TODAY(),$A859,0),0)</f>
      </c>
      <c r="M859" s="20">
        <f>IF($L859=0,"",$B859&amp;"|"&amp;$L859)</f>
      </c>
    </row>
    <row r="860" spans="1:13" x14ac:dyDescent="0.25">
      <c r="A860" s="24"/>
      <c r="B860" s="9"/>
      <c r="C860" s="20">
        <f>IF($B860="","",IFERROR(INDEX(Parc!$B$2:$B$301,MATCH($B860,Parc!$A$2:$A$301,0)),"Réf. inconnue"))</f>
      </c>
      <c r="D860" s="9"/>
      <c r="E860" s="9"/>
      <c r="F860" s="9"/>
      <c r="G860" s="9"/>
      <c r="H860" s="9"/>
      <c r="I860" s="24"/>
      <c r="J860" s="9"/>
      <c r="K860" s="9"/>
      <c r="L860" s="20">
        <f>IF(AND(ISNUMBER($A860),$B860&lt;&gt;"",$D860&lt;&gt;"Examen partiel (ne relance pas)"),IF($A860&lt;=TODAY(),$A860,0),0)</f>
      </c>
      <c r="M860" s="20">
        <f>IF($L860=0,"",$B860&amp;"|"&amp;$L860)</f>
      </c>
    </row>
    <row r="861" spans="1:13" x14ac:dyDescent="0.25">
      <c r="A861" s="24"/>
      <c r="B861" s="9"/>
      <c r="C861" s="20">
        <f>IF($B861="","",IFERROR(INDEX(Parc!$B$2:$B$301,MATCH($B861,Parc!$A$2:$A$301,0)),"Réf. inconnue"))</f>
      </c>
      <c r="D861" s="9"/>
      <c r="E861" s="9"/>
      <c r="F861" s="9"/>
      <c r="G861" s="9"/>
      <c r="H861" s="9"/>
      <c r="I861" s="24"/>
      <c r="J861" s="9"/>
      <c r="K861" s="9"/>
      <c r="L861" s="20">
        <f>IF(AND(ISNUMBER($A861),$B861&lt;&gt;"",$D861&lt;&gt;"Examen partiel (ne relance pas)"),IF($A861&lt;=TODAY(),$A861,0),0)</f>
      </c>
      <c r="M861" s="20">
        <f>IF($L861=0,"",$B861&amp;"|"&amp;$L861)</f>
      </c>
    </row>
    <row r="862" spans="1:13" x14ac:dyDescent="0.25">
      <c r="A862" s="24"/>
      <c r="B862" s="9"/>
      <c r="C862" s="20">
        <f>IF($B862="","",IFERROR(INDEX(Parc!$B$2:$B$301,MATCH($B862,Parc!$A$2:$A$301,0)),"Réf. inconnue"))</f>
      </c>
      <c r="D862" s="9"/>
      <c r="E862" s="9"/>
      <c r="F862" s="9"/>
      <c r="G862" s="9"/>
      <c r="H862" s="9"/>
      <c r="I862" s="24"/>
      <c r="J862" s="9"/>
      <c r="K862" s="9"/>
      <c r="L862" s="20">
        <f>IF(AND(ISNUMBER($A862),$B862&lt;&gt;"",$D862&lt;&gt;"Examen partiel (ne relance pas)"),IF($A862&lt;=TODAY(),$A862,0),0)</f>
      </c>
      <c r="M862" s="20">
        <f>IF($L862=0,"",$B862&amp;"|"&amp;$L862)</f>
      </c>
    </row>
    <row r="863" spans="1:13" x14ac:dyDescent="0.25">
      <c r="A863" s="24"/>
      <c r="B863" s="9"/>
      <c r="C863" s="20">
        <f>IF($B863="","",IFERROR(INDEX(Parc!$B$2:$B$301,MATCH($B863,Parc!$A$2:$A$301,0)),"Réf. inconnue"))</f>
      </c>
      <c r="D863" s="9"/>
      <c r="E863" s="9"/>
      <c r="F863" s="9"/>
      <c r="G863" s="9"/>
      <c r="H863" s="9"/>
      <c r="I863" s="24"/>
      <c r="J863" s="9"/>
      <c r="K863" s="9"/>
      <c r="L863" s="20">
        <f>IF(AND(ISNUMBER($A863),$B863&lt;&gt;"",$D863&lt;&gt;"Examen partiel (ne relance pas)"),IF($A863&lt;=TODAY(),$A863,0),0)</f>
      </c>
      <c r="M863" s="20">
        <f>IF($L863=0,"",$B863&amp;"|"&amp;$L863)</f>
      </c>
    </row>
    <row r="864" spans="1:13" x14ac:dyDescent="0.25">
      <c r="A864" s="24"/>
      <c r="B864" s="9"/>
      <c r="C864" s="20">
        <f>IF($B864="","",IFERROR(INDEX(Parc!$B$2:$B$301,MATCH($B864,Parc!$A$2:$A$301,0)),"Réf. inconnue"))</f>
      </c>
      <c r="D864" s="9"/>
      <c r="E864" s="9"/>
      <c r="F864" s="9"/>
      <c r="G864" s="9"/>
      <c r="H864" s="9"/>
      <c r="I864" s="24"/>
      <c r="J864" s="9"/>
      <c r="K864" s="9"/>
      <c r="L864" s="20">
        <f>IF(AND(ISNUMBER($A864),$B864&lt;&gt;"",$D864&lt;&gt;"Examen partiel (ne relance pas)"),IF($A864&lt;=TODAY(),$A864,0),0)</f>
      </c>
      <c r="M864" s="20">
        <f>IF($L864=0,"",$B864&amp;"|"&amp;$L864)</f>
      </c>
    </row>
    <row r="865" spans="1:13" x14ac:dyDescent="0.25">
      <c r="A865" s="24"/>
      <c r="B865" s="9"/>
      <c r="C865" s="20">
        <f>IF($B865="","",IFERROR(INDEX(Parc!$B$2:$B$301,MATCH($B865,Parc!$A$2:$A$301,0)),"Réf. inconnue"))</f>
      </c>
      <c r="D865" s="9"/>
      <c r="E865" s="9"/>
      <c r="F865" s="9"/>
      <c r="G865" s="9"/>
      <c r="H865" s="9"/>
      <c r="I865" s="24"/>
      <c r="J865" s="9"/>
      <c r="K865" s="9"/>
      <c r="L865" s="20">
        <f>IF(AND(ISNUMBER($A865),$B865&lt;&gt;"",$D865&lt;&gt;"Examen partiel (ne relance pas)"),IF($A865&lt;=TODAY(),$A865,0),0)</f>
      </c>
      <c r="M865" s="20">
        <f>IF($L865=0,"",$B865&amp;"|"&amp;$L865)</f>
      </c>
    </row>
    <row r="866" spans="1:13" x14ac:dyDescent="0.25">
      <c r="A866" s="24"/>
      <c r="B866" s="9"/>
      <c r="C866" s="20">
        <f>IF($B866="","",IFERROR(INDEX(Parc!$B$2:$B$301,MATCH($B866,Parc!$A$2:$A$301,0)),"Réf. inconnue"))</f>
      </c>
      <c r="D866" s="9"/>
      <c r="E866" s="9"/>
      <c r="F866" s="9"/>
      <c r="G866" s="9"/>
      <c r="H866" s="9"/>
      <c r="I866" s="24"/>
      <c r="J866" s="9"/>
      <c r="K866" s="9"/>
      <c r="L866" s="20">
        <f>IF(AND(ISNUMBER($A866),$B866&lt;&gt;"",$D866&lt;&gt;"Examen partiel (ne relance pas)"),IF($A866&lt;=TODAY(),$A866,0),0)</f>
      </c>
      <c r="M866" s="20">
        <f>IF($L866=0,"",$B866&amp;"|"&amp;$L866)</f>
      </c>
    </row>
    <row r="867" spans="1:13" x14ac:dyDescent="0.25">
      <c r="A867" s="24"/>
      <c r="B867" s="9"/>
      <c r="C867" s="20">
        <f>IF($B867="","",IFERROR(INDEX(Parc!$B$2:$B$301,MATCH($B867,Parc!$A$2:$A$301,0)),"Réf. inconnue"))</f>
      </c>
      <c r="D867" s="9"/>
      <c r="E867" s="9"/>
      <c r="F867" s="9"/>
      <c r="G867" s="9"/>
      <c r="H867" s="9"/>
      <c r="I867" s="24"/>
      <c r="J867" s="9"/>
      <c r="K867" s="9"/>
      <c r="L867" s="20">
        <f>IF(AND(ISNUMBER($A867),$B867&lt;&gt;"",$D867&lt;&gt;"Examen partiel (ne relance pas)"),IF($A867&lt;=TODAY(),$A867,0),0)</f>
      </c>
      <c r="M867" s="20">
        <f>IF($L867=0,"",$B867&amp;"|"&amp;$L867)</f>
      </c>
    </row>
    <row r="868" spans="1:13" x14ac:dyDescent="0.25">
      <c r="A868" s="24"/>
      <c r="B868" s="9"/>
      <c r="C868" s="20">
        <f>IF($B868="","",IFERROR(INDEX(Parc!$B$2:$B$301,MATCH($B868,Parc!$A$2:$A$301,0)),"Réf. inconnue"))</f>
      </c>
      <c r="D868" s="9"/>
      <c r="E868" s="9"/>
      <c r="F868" s="9"/>
      <c r="G868" s="9"/>
      <c r="H868" s="9"/>
      <c r="I868" s="24"/>
      <c r="J868" s="9"/>
      <c r="K868" s="9"/>
      <c r="L868" s="20">
        <f>IF(AND(ISNUMBER($A868),$B868&lt;&gt;"",$D868&lt;&gt;"Examen partiel (ne relance pas)"),IF($A868&lt;=TODAY(),$A868,0),0)</f>
      </c>
      <c r="M868" s="20">
        <f>IF($L868=0,"",$B868&amp;"|"&amp;$L868)</f>
      </c>
    </row>
    <row r="869" spans="1:13" x14ac:dyDescent="0.25">
      <c r="A869" s="24"/>
      <c r="B869" s="9"/>
      <c r="C869" s="20">
        <f>IF($B869="","",IFERROR(INDEX(Parc!$B$2:$B$301,MATCH($B869,Parc!$A$2:$A$301,0)),"Réf. inconnue"))</f>
      </c>
      <c r="D869" s="9"/>
      <c r="E869" s="9"/>
      <c r="F869" s="9"/>
      <c r="G869" s="9"/>
      <c r="H869" s="9"/>
      <c r="I869" s="24"/>
      <c r="J869" s="9"/>
      <c r="K869" s="9"/>
      <c r="L869" s="20">
        <f>IF(AND(ISNUMBER($A869),$B869&lt;&gt;"",$D869&lt;&gt;"Examen partiel (ne relance pas)"),IF($A869&lt;=TODAY(),$A869,0),0)</f>
      </c>
      <c r="M869" s="20">
        <f>IF($L869=0,"",$B869&amp;"|"&amp;$L869)</f>
      </c>
    </row>
    <row r="870" spans="1:13" x14ac:dyDescent="0.25">
      <c r="A870" s="24"/>
      <c r="B870" s="9"/>
      <c r="C870" s="20">
        <f>IF($B870="","",IFERROR(INDEX(Parc!$B$2:$B$301,MATCH($B870,Parc!$A$2:$A$301,0)),"Réf. inconnue"))</f>
      </c>
      <c r="D870" s="9"/>
      <c r="E870" s="9"/>
      <c r="F870" s="9"/>
      <c r="G870" s="9"/>
      <c r="H870" s="9"/>
      <c r="I870" s="24"/>
      <c r="J870" s="9"/>
      <c r="K870" s="9"/>
      <c r="L870" s="20">
        <f>IF(AND(ISNUMBER($A870),$B870&lt;&gt;"",$D870&lt;&gt;"Examen partiel (ne relance pas)"),IF($A870&lt;=TODAY(),$A870,0),0)</f>
      </c>
      <c r="M870" s="20">
        <f>IF($L870=0,"",$B870&amp;"|"&amp;$L870)</f>
      </c>
    </row>
    <row r="871" spans="1:13" x14ac:dyDescent="0.25">
      <c r="A871" s="24"/>
      <c r="B871" s="9"/>
      <c r="C871" s="20">
        <f>IF($B871="","",IFERROR(INDEX(Parc!$B$2:$B$301,MATCH($B871,Parc!$A$2:$A$301,0)),"Réf. inconnue"))</f>
      </c>
      <c r="D871" s="9"/>
      <c r="E871" s="9"/>
      <c r="F871" s="9"/>
      <c r="G871" s="9"/>
      <c r="H871" s="9"/>
      <c r="I871" s="24"/>
      <c r="J871" s="9"/>
      <c r="K871" s="9"/>
      <c r="L871" s="20">
        <f>IF(AND(ISNUMBER($A871),$B871&lt;&gt;"",$D871&lt;&gt;"Examen partiel (ne relance pas)"),IF($A871&lt;=TODAY(),$A871,0),0)</f>
      </c>
      <c r="M871" s="20">
        <f>IF($L871=0,"",$B871&amp;"|"&amp;$L871)</f>
      </c>
    </row>
    <row r="872" spans="1:13" x14ac:dyDescent="0.25">
      <c r="A872" s="24"/>
      <c r="B872" s="9"/>
      <c r="C872" s="20">
        <f>IF($B872="","",IFERROR(INDEX(Parc!$B$2:$B$301,MATCH($B872,Parc!$A$2:$A$301,0)),"Réf. inconnue"))</f>
      </c>
      <c r="D872" s="9"/>
      <c r="E872" s="9"/>
      <c r="F872" s="9"/>
      <c r="G872" s="9"/>
      <c r="H872" s="9"/>
      <c r="I872" s="24"/>
      <c r="J872" s="9"/>
      <c r="K872" s="9"/>
      <c r="L872" s="20">
        <f>IF(AND(ISNUMBER($A872),$B872&lt;&gt;"",$D872&lt;&gt;"Examen partiel (ne relance pas)"),IF($A872&lt;=TODAY(),$A872,0),0)</f>
      </c>
      <c r="M872" s="20">
        <f>IF($L872=0,"",$B872&amp;"|"&amp;$L872)</f>
      </c>
    </row>
    <row r="873" spans="1:13" x14ac:dyDescent="0.25">
      <c r="A873" s="24"/>
      <c r="B873" s="9"/>
      <c r="C873" s="20">
        <f>IF($B873="","",IFERROR(INDEX(Parc!$B$2:$B$301,MATCH($B873,Parc!$A$2:$A$301,0)),"Réf. inconnue"))</f>
      </c>
      <c r="D873" s="9"/>
      <c r="E873" s="9"/>
      <c r="F873" s="9"/>
      <c r="G873" s="9"/>
      <c r="H873" s="9"/>
      <c r="I873" s="24"/>
      <c r="J873" s="9"/>
      <c r="K873" s="9"/>
      <c r="L873" s="20">
        <f>IF(AND(ISNUMBER($A873),$B873&lt;&gt;"",$D873&lt;&gt;"Examen partiel (ne relance pas)"),IF($A873&lt;=TODAY(),$A873,0),0)</f>
      </c>
      <c r="M873" s="20">
        <f>IF($L873=0,"",$B873&amp;"|"&amp;$L873)</f>
      </c>
    </row>
    <row r="874" spans="1:13" x14ac:dyDescent="0.25">
      <c r="A874" s="24"/>
      <c r="B874" s="9"/>
      <c r="C874" s="20">
        <f>IF($B874="","",IFERROR(INDEX(Parc!$B$2:$B$301,MATCH($B874,Parc!$A$2:$A$301,0)),"Réf. inconnue"))</f>
      </c>
      <c r="D874" s="9"/>
      <c r="E874" s="9"/>
      <c r="F874" s="9"/>
      <c r="G874" s="9"/>
      <c r="H874" s="9"/>
      <c r="I874" s="24"/>
      <c r="J874" s="9"/>
      <c r="K874" s="9"/>
      <c r="L874" s="20">
        <f>IF(AND(ISNUMBER($A874),$B874&lt;&gt;"",$D874&lt;&gt;"Examen partiel (ne relance pas)"),IF($A874&lt;=TODAY(),$A874,0),0)</f>
      </c>
      <c r="M874" s="20">
        <f>IF($L874=0,"",$B874&amp;"|"&amp;$L874)</f>
      </c>
    </row>
    <row r="875" spans="1:13" x14ac:dyDescent="0.25">
      <c r="A875" s="24"/>
      <c r="B875" s="9"/>
      <c r="C875" s="20">
        <f>IF($B875="","",IFERROR(INDEX(Parc!$B$2:$B$301,MATCH($B875,Parc!$A$2:$A$301,0)),"Réf. inconnue"))</f>
      </c>
      <c r="D875" s="9"/>
      <c r="E875" s="9"/>
      <c r="F875" s="9"/>
      <c r="G875" s="9"/>
      <c r="H875" s="9"/>
      <c r="I875" s="24"/>
      <c r="J875" s="9"/>
      <c r="K875" s="9"/>
      <c r="L875" s="20">
        <f>IF(AND(ISNUMBER($A875),$B875&lt;&gt;"",$D875&lt;&gt;"Examen partiel (ne relance pas)"),IF($A875&lt;=TODAY(),$A875,0),0)</f>
      </c>
      <c r="M875" s="20">
        <f>IF($L875=0,"",$B875&amp;"|"&amp;$L875)</f>
      </c>
    </row>
    <row r="876" spans="1:13" x14ac:dyDescent="0.25">
      <c r="A876" s="24"/>
      <c r="B876" s="9"/>
      <c r="C876" s="20">
        <f>IF($B876="","",IFERROR(INDEX(Parc!$B$2:$B$301,MATCH($B876,Parc!$A$2:$A$301,0)),"Réf. inconnue"))</f>
      </c>
      <c r="D876" s="9"/>
      <c r="E876" s="9"/>
      <c r="F876" s="9"/>
      <c r="G876" s="9"/>
      <c r="H876" s="9"/>
      <c r="I876" s="24"/>
      <c r="J876" s="9"/>
      <c r="K876" s="9"/>
      <c r="L876" s="20">
        <f>IF(AND(ISNUMBER($A876),$B876&lt;&gt;"",$D876&lt;&gt;"Examen partiel (ne relance pas)"),IF($A876&lt;=TODAY(),$A876,0),0)</f>
      </c>
      <c r="M876" s="20">
        <f>IF($L876=0,"",$B876&amp;"|"&amp;$L876)</f>
      </c>
    </row>
    <row r="877" spans="1:13" x14ac:dyDescent="0.25">
      <c r="A877" s="24"/>
      <c r="B877" s="9"/>
      <c r="C877" s="20">
        <f>IF($B877="","",IFERROR(INDEX(Parc!$B$2:$B$301,MATCH($B877,Parc!$A$2:$A$301,0)),"Réf. inconnue"))</f>
      </c>
      <c r="D877" s="9"/>
      <c r="E877" s="9"/>
      <c r="F877" s="9"/>
      <c r="G877" s="9"/>
      <c r="H877" s="9"/>
      <c r="I877" s="24"/>
      <c r="J877" s="9"/>
      <c r="K877" s="9"/>
      <c r="L877" s="20">
        <f>IF(AND(ISNUMBER($A877),$B877&lt;&gt;"",$D877&lt;&gt;"Examen partiel (ne relance pas)"),IF($A877&lt;=TODAY(),$A877,0),0)</f>
      </c>
      <c r="M877" s="20">
        <f>IF($L877=0,"",$B877&amp;"|"&amp;$L877)</f>
      </c>
    </row>
    <row r="878" spans="1:13" x14ac:dyDescent="0.25">
      <c r="A878" s="24"/>
      <c r="B878" s="9"/>
      <c r="C878" s="20">
        <f>IF($B878="","",IFERROR(INDEX(Parc!$B$2:$B$301,MATCH($B878,Parc!$A$2:$A$301,0)),"Réf. inconnue"))</f>
      </c>
      <c r="D878" s="9"/>
      <c r="E878" s="9"/>
      <c r="F878" s="9"/>
      <c r="G878" s="9"/>
      <c r="H878" s="9"/>
      <c r="I878" s="24"/>
      <c r="J878" s="9"/>
      <c r="K878" s="9"/>
      <c r="L878" s="20">
        <f>IF(AND(ISNUMBER($A878),$B878&lt;&gt;"",$D878&lt;&gt;"Examen partiel (ne relance pas)"),IF($A878&lt;=TODAY(),$A878,0),0)</f>
      </c>
      <c r="M878" s="20">
        <f>IF($L878=0,"",$B878&amp;"|"&amp;$L878)</f>
      </c>
    </row>
    <row r="879" spans="1:13" x14ac:dyDescent="0.25">
      <c r="A879" s="24"/>
      <c r="B879" s="9"/>
      <c r="C879" s="20">
        <f>IF($B879="","",IFERROR(INDEX(Parc!$B$2:$B$301,MATCH($B879,Parc!$A$2:$A$301,0)),"Réf. inconnue"))</f>
      </c>
      <c r="D879" s="9"/>
      <c r="E879" s="9"/>
      <c r="F879" s="9"/>
      <c r="G879" s="9"/>
      <c r="H879" s="9"/>
      <c r="I879" s="24"/>
      <c r="J879" s="9"/>
      <c r="K879" s="9"/>
      <c r="L879" s="20">
        <f>IF(AND(ISNUMBER($A879),$B879&lt;&gt;"",$D879&lt;&gt;"Examen partiel (ne relance pas)"),IF($A879&lt;=TODAY(),$A879,0),0)</f>
      </c>
      <c r="M879" s="20">
        <f>IF($L879=0,"",$B879&amp;"|"&amp;$L879)</f>
      </c>
    </row>
    <row r="880" spans="1:13" x14ac:dyDescent="0.25">
      <c r="A880" s="24"/>
      <c r="B880" s="9"/>
      <c r="C880" s="20">
        <f>IF($B880="","",IFERROR(INDEX(Parc!$B$2:$B$301,MATCH($B880,Parc!$A$2:$A$301,0)),"Réf. inconnue"))</f>
      </c>
      <c r="D880" s="9"/>
      <c r="E880" s="9"/>
      <c r="F880" s="9"/>
      <c r="G880" s="9"/>
      <c r="H880" s="9"/>
      <c r="I880" s="24"/>
      <c r="J880" s="9"/>
      <c r="K880" s="9"/>
      <c r="L880" s="20">
        <f>IF(AND(ISNUMBER($A880),$B880&lt;&gt;"",$D880&lt;&gt;"Examen partiel (ne relance pas)"),IF($A880&lt;=TODAY(),$A880,0),0)</f>
      </c>
      <c r="M880" s="20">
        <f>IF($L880=0,"",$B880&amp;"|"&amp;$L880)</f>
      </c>
    </row>
    <row r="881" spans="1:13" x14ac:dyDescent="0.25">
      <c r="A881" s="24"/>
      <c r="B881" s="9"/>
      <c r="C881" s="20">
        <f>IF($B881="","",IFERROR(INDEX(Parc!$B$2:$B$301,MATCH($B881,Parc!$A$2:$A$301,0)),"Réf. inconnue"))</f>
      </c>
      <c r="D881" s="9"/>
      <c r="E881" s="9"/>
      <c r="F881" s="9"/>
      <c r="G881" s="9"/>
      <c r="H881" s="9"/>
      <c r="I881" s="24"/>
      <c r="J881" s="9"/>
      <c r="K881" s="9"/>
      <c r="L881" s="20">
        <f>IF(AND(ISNUMBER($A881),$B881&lt;&gt;"",$D881&lt;&gt;"Examen partiel (ne relance pas)"),IF($A881&lt;=TODAY(),$A881,0),0)</f>
      </c>
      <c r="M881" s="20">
        <f>IF($L881=0,"",$B881&amp;"|"&amp;$L881)</f>
      </c>
    </row>
    <row r="882" spans="1:13" x14ac:dyDescent="0.25">
      <c r="A882" s="24"/>
      <c r="B882" s="9"/>
      <c r="C882" s="20">
        <f>IF($B882="","",IFERROR(INDEX(Parc!$B$2:$B$301,MATCH($B882,Parc!$A$2:$A$301,0)),"Réf. inconnue"))</f>
      </c>
      <c r="D882" s="9"/>
      <c r="E882" s="9"/>
      <c r="F882" s="9"/>
      <c r="G882" s="9"/>
      <c r="H882" s="9"/>
      <c r="I882" s="24"/>
      <c r="J882" s="9"/>
      <c r="K882" s="9"/>
      <c r="L882" s="20">
        <f>IF(AND(ISNUMBER($A882),$B882&lt;&gt;"",$D882&lt;&gt;"Examen partiel (ne relance pas)"),IF($A882&lt;=TODAY(),$A882,0),0)</f>
      </c>
      <c r="M882" s="20">
        <f>IF($L882=0,"",$B882&amp;"|"&amp;$L882)</f>
      </c>
    </row>
    <row r="883" spans="1:13" x14ac:dyDescent="0.25">
      <c r="A883" s="24"/>
      <c r="B883" s="9"/>
      <c r="C883" s="20">
        <f>IF($B883="","",IFERROR(INDEX(Parc!$B$2:$B$301,MATCH($B883,Parc!$A$2:$A$301,0)),"Réf. inconnue"))</f>
      </c>
      <c r="D883" s="9"/>
      <c r="E883" s="9"/>
      <c r="F883" s="9"/>
      <c r="G883" s="9"/>
      <c r="H883" s="9"/>
      <c r="I883" s="24"/>
      <c r="J883" s="9"/>
      <c r="K883" s="9"/>
      <c r="L883" s="20">
        <f>IF(AND(ISNUMBER($A883),$B883&lt;&gt;"",$D883&lt;&gt;"Examen partiel (ne relance pas)"),IF($A883&lt;=TODAY(),$A883,0),0)</f>
      </c>
      <c r="M883" s="20">
        <f>IF($L883=0,"",$B883&amp;"|"&amp;$L883)</f>
      </c>
    </row>
    <row r="884" spans="1:13" x14ac:dyDescent="0.25">
      <c r="A884" s="24"/>
      <c r="B884" s="9"/>
      <c r="C884" s="20">
        <f>IF($B884="","",IFERROR(INDEX(Parc!$B$2:$B$301,MATCH($B884,Parc!$A$2:$A$301,0)),"Réf. inconnue"))</f>
      </c>
      <c r="D884" s="9"/>
      <c r="E884" s="9"/>
      <c r="F884" s="9"/>
      <c r="G884" s="9"/>
      <c r="H884" s="9"/>
      <c r="I884" s="24"/>
      <c r="J884" s="9"/>
      <c r="K884" s="9"/>
      <c r="L884" s="20">
        <f>IF(AND(ISNUMBER($A884),$B884&lt;&gt;"",$D884&lt;&gt;"Examen partiel (ne relance pas)"),IF($A884&lt;=TODAY(),$A884,0),0)</f>
      </c>
      <c r="M884" s="20">
        <f>IF($L884=0,"",$B884&amp;"|"&amp;$L884)</f>
      </c>
    </row>
    <row r="885" spans="1:13" x14ac:dyDescent="0.25">
      <c r="A885" s="24"/>
      <c r="B885" s="9"/>
      <c r="C885" s="20">
        <f>IF($B885="","",IFERROR(INDEX(Parc!$B$2:$B$301,MATCH($B885,Parc!$A$2:$A$301,0)),"Réf. inconnue"))</f>
      </c>
      <c r="D885" s="9"/>
      <c r="E885" s="9"/>
      <c r="F885" s="9"/>
      <c r="G885" s="9"/>
      <c r="H885" s="9"/>
      <c r="I885" s="24"/>
      <c r="J885" s="9"/>
      <c r="K885" s="9"/>
      <c r="L885" s="20">
        <f>IF(AND(ISNUMBER($A885),$B885&lt;&gt;"",$D885&lt;&gt;"Examen partiel (ne relance pas)"),IF($A885&lt;=TODAY(),$A885,0),0)</f>
      </c>
      <c r="M885" s="20">
        <f>IF($L885=0,"",$B885&amp;"|"&amp;$L885)</f>
      </c>
    </row>
    <row r="886" spans="1:13" x14ac:dyDescent="0.25">
      <c r="A886" s="24"/>
      <c r="B886" s="9"/>
      <c r="C886" s="20">
        <f>IF($B886="","",IFERROR(INDEX(Parc!$B$2:$B$301,MATCH($B886,Parc!$A$2:$A$301,0)),"Réf. inconnue"))</f>
      </c>
      <c r="D886" s="9"/>
      <c r="E886" s="9"/>
      <c r="F886" s="9"/>
      <c r="G886" s="9"/>
      <c r="H886" s="9"/>
      <c r="I886" s="24"/>
      <c r="J886" s="9"/>
      <c r="K886" s="9"/>
      <c r="L886" s="20">
        <f>IF(AND(ISNUMBER($A886),$B886&lt;&gt;"",$D886&lt;&gt;"Examen partiel (ne relance pas)"),IF($A886&lt;=TODAY(),$A886,0),0)</f>
      </c>
      <c r="M886" s="20">
        <f>IF($L886=0,"",$B886&amp;"|"&amp;$L886)</f>
      </c>
    </row>
    <row r="887" spans="1:13" x14ac:dyDescent="0.25">
      <c r="A887" s="24"/>
      <c r="B887" s="9"/>
      <c r="C887" s="20">
        <f>IF($B887="","",IFERROR(INDEX(Parc!$B$2:$B$301,MATCH($B887,Parc!$A$2:$A$301,0)),"Réf. inconnue"))</f>
      </c>
      <c r="D887" s="9"/>
      <c r="E887" s="9"/>
      <c r="F887" s="9"/>
      <c r="G887" s="9"/>
      <c r="H887" s="9"/>
      <c r="I887" s="24"/>
      <c r="J887" s="9"/>
      <c r="K887" s="9"/>
      <c r="L887" s="20">
        <f>IF(AND(ISNUMBER($A887),$B887&lt;&gt;"",$D887&lt;&gt;"Examen partiel (ne relance pas)"),IF($A887&lt;=TODAY(),$A887,0),0)</f>
      </c>
      <c r="M887" s="20">
        <f>IF($L887=0,"",$B887&amp;"|"&amp;$L887)</f>
      </c>
    </row>
    <row r="888" spans="1:13" x14ac:dyDescent="0.25">
      <c r="A888" s="24"/>
      <c r="B888" s="9"/>
      <c r="C888" s="20">
        <f>IF($B888="","",IFERROR(INDEX(Parc!$B$2:$B$301,MATCH($B888,Parc!$A$2:$A$301,0)),"Réf. inconnue"))</f>
      </c>
      <c r="D888" s="9"/>
      <c r="E888" s="9"/>
      <c r="F888" s="9"/>
      <c r="G888" s="9"/>
      <c r="H888" s="9"/>
      <c r="I888" s="24"/>
      <c r="J888" s="9"/>
      <c r="K888" s="9"/>
      <c r="L888" s="20">
        <f>IF(AND(ISNUMBER($A888),$B888&lt;&gt;"",$D888&lt;&gt;"Examen partiel (ne relance pas)"),IF($A888&lt;=TODAY(),$A888,0),0)</f>
      </c>
      <c r="M888" s="20">
        <f>IF($L888=0,"",$B888&amp;"|"&amp;$L888)</f>
      </c>
    </row>
    <row r="889" spans="1:13" x14ac:dyDescent="0.25">
      <c r="A889" s="24"/>
      <c r="B889" s="9"/>
      <c r="C889" s="20">
        <f>IF($B889="","",IFERROR(INDEX(Parc!$B$2:$B$301,MATCH($B889,Parc!$A$2:$A$301,0)),"Réf. inconnue"))</f>
      </c>
      <c r="D889" s="9"/>
      <c r="E889" s="9"/>
      <c r="F889" s="9"/>
      <c r="G889" s="9"/>
      <c r="H889" s="9"/>
      <c r="I889" s="24"/>
      <c r="J889" s="9"/>
      <c r="K889" s="9"/>
      <c r="L889" s="20">
        <f>IF(AND(ISNUMBER($A889),$B889&lt;&gt;"",$D889&lt;&gt;"Examen partiel (ne relance pas)"),IF($A889&lt;=TODAY(),$A889,0),0)</f>
      </c>
      <c r="M889" s="20">
        <f>IF($L889=0,"",$B889&amp;"|"&amp;$L889)</f>
      </c>
    </row>
    <row r="890" spans="1:13" x14ac:dyDescent="0.25">
      <c r="A890" s="24"/>
      <c r="B890" s="9"/>
      <c r="C890" s="20">
        <f>IF($B890="","",IFERROR(INDEX(Parc!$B$2:$B$301,MATCH($B890,Parc!$A$2:$A$301,0)),"Réf. inconnue"))</f>
      </c>
      <c r="D890" s="9"/>
      <c r="E890" s="9"/>
      <c r="F890" s="9"/>
      <c r="G890" s="9"/>
      <c r="H890" s="9"/>
      <c r="I890" s="24"/>
      <c r="J890" s="9"/>
      <c r="K890" s="9"/>
      <c r="L890" s="20">
        <f>IF(AND(ISNUMBER($A890),$B890&lt;&gt;"",$D890&lt;&gt;"Examen partiel (ne relance pas)"),IF($A890&lt;=TODAY(),$A890,0),0)</f>
      </c>
      <c r="M890" s="20">
        <f>IF($L890=0,"",$B890&amp;"|"&amp;$L890)</f>
      </c>
    </row>
    <row r="891" spans="1:13" x14ac:dyDescent="0.25">
      <c r="A891" s="24"/>
      <c r="B891" s="9"/>
      <c r="C891" s="20">
        <f>IF($B891="","",IFERROR(INDEX(Parc!$B$2:$B$301,MATCH($B891,Parc!$A$2:$A$301,0)),"Réf. inconnue"))</f>
      </c>
      <c r="D891" s="9"/>
      <c r="E891" s="9"/>
      <c r="F891" s="9"/>
      <c r="G891" s="9"/>
      <c r="H891" s="9"/>
      <c r="I891" s="24"/>
      <c r="J891" s="9"/>
      <c r="K891" s="9"/>
      <c r="L891" s="20">
        <f>IF(AND(ISNUMBER($A891),$B891&lt;&gt;"",$D891&lt;&gt;"Examen partiel (ne relance pas)"),IF($A891&lt;=TODAY(),$A891,0),0)</f>
      </c>
      <c r="M891" s="20">
        <f>IF($L891=0,"",$B891&amp;"|"&amp;$L891)</f>
      </c>
    </row>
    <row r="892" spans="1:13" x14ac:dyDescent="0.25">
      <c r="A892" s="24"/>
      <c r="B892" s="9"/>
      <c r="C892" s="20">
        <f>IF($B892="","",IFERROR(INDEX(Parc!$B$2:$B$301,MATCH($B892,Parc!$A$2:$A$301,0)),"Réf. inconnue"))</f>
      </c>
      <c r="D892" s="9"/>
      <c r="E892" s="9"/>
      <c r="F892" s="9"/>
      <c r="G892" s="9"/>
      <c r="H892" s="9"/>
      <c r="I892" s="24"/>
      <c r="J892" s="9"/>
      <c r="K892" s="9"/>
      <c r="L892" s="20">
        <f>IF(AND(ISNUMBER($A892),$B892&lt;&gt;"",$D892&lt;&gt;"Examen partiel (ne relance pas)"),IF($A892&lt;=TODAY(),$A892,0),0)</f>
      </c>
      <c r="M892" s="20">
        <f>IF($L892=0,"",$B892&amp;"|"&amp;$L892)</f>
      </c>
    </row>
    <row r="893" spans="1:13" x14ac:dyDescent="0.25">
      <c r="A893" s="24"/>
      <c r="B893" s="9"/>
      <c r="C893" s="20">
        <f>IF($B893="","",IFERROR(INDEX(Parc!$B$2:$B$301,MATCH($B893,Parc!$A$2:$A$301,0)),"Réf. inconnue"))</f>
      </c>
      <c r="D893" s="9"/>
      <c r="E893" s="9"/>
      <c r="F893" s="9"/>
      <c r="G893" s="9"/>
      <c r="H893" s="9"/>
      <c r="I893" s="24"/>
      <c r="J893" s="9"/>
      <c r="K893" s="9"/>
      <c r="L893" s="20">
        <f>IF(AND(ISNUMBER($A893),$B893&lt;&gt;"",$D893&lt;&gt;"Examen partiel (ne relance pas)"),IF($A893&lt;=TODAY(),$A893,0),0)</f>
      </c>
      <c r="M893" s="20">
        <f>IF($L893=0,"",$B893&amp;"|"&amp;$L893)</f>
      </c>
    </row>
    <row r="894" spans="1:13" x14ac:dyDescent="0.25">
      <c r="A894" s="24"/>
      <c r="B894" s="9"/>
      <c r="C894" s="20">
        <f>IF($B894="","",IFERROR(INDEX(Parc!$B$2:$B$301,MATCH($B894,Parc!$A$2:$A$301,0)),"Réf. inconnue"))</f>
      </c>
      <c r="D894" s="9"/>
      <c r="E894" s="9"/>
      <c r="F894" s="9"/>
      <c r="G894" s="9"/>
      <c r="H894" s="9"/>
      <c r="I894" s="24"/>
      <c r="J894" s="9"/>
      <c r="K894" s="9"/>
      <c r="L894" s="20">
        <f>IF(AND(ISNUMBER($A894),$B894&lt;&gt;"",$D894&lt;&gt;"Examen partiel (ne relance pas)"),IF($A894&lt;=TODAY(),$A894,0),0)</f>
      </c>
      <c r="M894" s="20">
        <f>IF($L894=0,"",$B894&amp;"|"&amp;$L894)</f>
      </c>
    </row>
    <row r="895" spans="1:13" x14ac:dyDescent="0.25">
      <c r="A895" s="24"/>
      <c r="B895" s="9"/>
      <c r="C895" s="20">
        <f>IF($B895="","",IFERROR(INDEX(Parc!$B$2:$B$301,MATCH($B895,Parc!$A$2:$A$301,0)),"Réf. inconnue"))</f>
      </c>
      <c r="D895" s="9"/>
      <c r="E895" s="9"/>
      <c r="F895" s="9"/>
      <c r="G895" s="9"/>
      <c r="H895" s="9"/>
      <c r="I895" s="24"/>
      <c r="J895" s="9"/>
      <c r="K895" s="9"/>
      <c r="L895" s="20">
        <f>IF(AND(ISNUMBER($A895),$B895&lt;&gt;"",$D895&lt;&gt;"Examen partiel (ne relance pas)"),IF($A895&lt;=TODAY(),$A895,0),0)</f>
      </c>
      <c r="M895" s="20">
        <f>IF($L895=0,"",$B895&amp;"|"&amp;$L895)</f>
      </c>
    </row>
    <row r="896" spans="1:13" x14ac:dyDescent="0.25">
      <c r="A896" s="24"/>
      <c r="B896" s="9"/>
      <c r="C896" s="20">
        <f>IF($B896="","",IFERROR(INDEX(Parc!$B$2:$B$301,MATCH($B896,Parc!$A$2:$A$301,0)),"Réf. inconnue"))</f>
      </c>
      <c r="D896" s="9"/>
      <c r="E896" s="9"/>
      <c r="F896" s="9"/>
      <c r="G896" s="9"/>
      <c r="H896" s="9"/>
      <c r="I896" s="24"/>
      <c r="J896" s="9"/>
      <c r="K896" s="9"/>
      <c r="L896" s="20">
        <f>IF(AND(ISNUMBER($A896),$B896&lt;&gt;"",$D896&lt;&gt;"Examen partiel (ne relance pas)"),IF($A896&lt;=TODAY(),$A896,0),0)</f>
      </c>
      <c r="M896" s="20">
        <f>IF($L896=0,"",$B896&amp;"|"&amp;$L896)</f>
      </c>
    </row>
    <row r="897" spans="1:13" x14ac:dyDescent="0.25">
      <c r="A897" s="24"/>
      <c r="B897" s="9"/>
      <c r="C897" s="20">
        <f>IF($B897="","",IFERROR(INDEX(Parc!$B$2:$B$301,MATCH($B897,Parc!$A$2:$A$301,0)),"Réf. inconnue"))</f>
      </c>
      <c r="D897" s="9"/>
      <c r="E897" s="9"/>
      <c r="F897" s="9"/>
      <c r="G897" s="9"/>
      <c r="H897" s="9"/>
      <c r="I897" s="24"/>
      <c r="J897" s="9"/>
      <c r="K897" s="9"/>
      <c r="L897" s="20">
        <f>IF(AND(ISNUMBER($A897),$B897&lt;&gt;"",$D897&lt;&gt;"Examen partiel (ne relance pas)"),IF($A897&lt;=TODAY(),$A897,0),0)</f>
      </c>
      <c r="M897" s="20">
        <f>IF($L897=0,"",$B897&amp;"|"&amp;$L897)</f>
      </c>
    </row>
    <row r="898" spans="1:13" x14ac:dyDescent="0.25">
      <c r="A898" s="24"/>
      <c r="B898" s="9"/>
      <c r="C898" s="20">
        <f>IF($B898="","",IFERROR(INDEX(Parc!$B$2:$B$301,MATCH($B898,Parc!$A$2:$A$301,0)),"Réf. inconnue"))</f>
      </c>
      <c r="D898" s="9"/>
      <c r="E898" s="9"/>
      <c r="F898" s="9"/>
      <c r="G898" s="9"/>
      <c r="H898" s="9"/>
      <c r="I898" s="24"/>
      <c r="J898" s="9"/>
      <c r="K898" s="9"/>
      <c r="L898" s="20">
        <f>IF(AND(ISNUMBER($A898),$B898&lt;&gt;"",$D898&lt;&gt;"Examen partiel (ne relance pas)"),IF($A898&lt;=TODAY(),$A898,0),0)</f>
      </c>
      <c r="M898" s="20">
        <f>IF($L898=0,"",$B898&amp;"|"&amp;$L898)</f>
      </c>
    </row>
    <row r="899" spans="1:13" x14ac:dyDescent="0.25">
      <c r="A899" s="24"/>
      <c r="B899" s="9"/>
      <c r="C899" s="20">
        <f>IF($B899="","",IFERROR(INDEX(Parc!$B$2:$B$301,MATCH($B899,Parc!$A$2:$A$301,0)),"Réf. inconnue"))</f>
      </c>
      <c r="D899" s="9"/>
      <c r="E899" s="9"/>
      <c r="F899" s="9"/>
      <c r="G899" s="9"/>
      <c r="H899" s="9"/>
      <c r="I899" s="24"/>
      <c r="J899" s="9"/>
      <c r="K899" s="9"/>
      <c r="L899" s="20">
        <f>IF(AND(ISNUMBER($A899),$B899&lt;&gt;"",$D899&lt;&gt;"Examen partiel (ne relance pas)"),IF($A899&lt;=TODAY(),$A899,0),0)</f>
      </c>
      <c r="M899" s="20">
        <f>IF($L899=0,"",$B899&amp;"|"&amp;$L899)</f>
      </c>
    </row>
    <row r="900" spans="1:13" x14ac:dyDescent="0.25">
      <c r="A900" s="24"/>
      <c r="B900" s="9"/>
      <c r="C900" s="20">
        <f>IF($B900="","",IFERROR(INDEX(Parc!$B$2:$B$301,MATCH($B900,Parc!$A$2:$A$301,0)),"Réf. inconnue"))</f>
      </c>
      <c r="D900" s="9"/>
      <c r="E900" s="9"/>
      <c r="F900" s="9"/>
      <c r="G900" s="9"/>
      <c r="H900" s="9"/>
      <c r="I900" s="24"/>
      <c r="J900" s="9"/>
      <c r="K900" s="9"/>
      <c r="L900" s="20">
        <f>IF(AND(ISNUMBER($A900),$B900&lt;&gt;"",$D900&lt;&gt;"Examen partiel (ne relance pas)"),IF($A900&lt;=TODAY(),$A900,0),0)</f>
      </c>
      <c r="M900" s="20">
        <f>IF($L900=0,"",$B900&amp;"|"&amp;$L900)</f>
      </c>
    </row>
    <row r="901" spans="1:13" x14ac:dyDescent="0.25">
      <c r="A901" s="24"/>
      <c r="B901" s="9"/>
      <c r="C901" s="20">
        <f>IF($B901="","",IFERROR(INDEX(Parc!$B$2:$B$301,MATCH($B901,Parc!$A$2:$A$301,0)),"Réf. inconnue"))</f>
      </c>
      <c r="D901" s="9"/>
      <c r="E901" s="9"/>
      <c r="F901" s="9"/>
      <c r="G901" s="9"/>
      <c r="H901" s="9"/>
      <c r="I901" s="24"/>
      <c r="J901" s="9"/>
      <c r="K901" s="9"/>
      <c r="L901" s="20">
        <f>IF(AND(ISNUMBER($A901),$B901&lt;&gt;"",$D901&lt;&gt;"Examen partiel (ne relance pas)"),IF($A901&lt;=TODAY(),$A901,0),0)</f>
      </c>
      <c r="M901" s="20">
        <f>IF($L901=0,"",$B901&amp;"|"&amp;$L901)</f>
      </c>
    </row>
    <row r="902" spans="1:13" x14ac:dyDescent="0.25">
      <c r="A902" s="24"/>
      <c r="B902" s="9"/>
      <c r="C902" s="20">
        <f>IF($B902="","",IFERROR(INDEX(Parc!$B$2:$B$301,MATCH($B902,Parc!$A$2:$A$301,0)),"Réf. inconnue"))</f>
      </c>
      <c r="D902" s="9"/>
      <c r="E902" s="9"/>
      <c r="F902" s="9"/>
      <c r="G902" s="9"/>
      <c r="H902" s="9"/>
      <c r="I902" s="24"/>
      <c r="J902" s="9"/>
      <c r="K902" s="9"/>
      <c r="L902" s="20">
        <f>IF(AND(ISNUMBER($A902),$B902&lt;&gt;"",$D902&lt;&gt;"Examen partiel (ne relance pas)"),IF($A902&lt;=TODAY(),$A902,0),0)</f>
      </c>
      <c r="M902" s="20">
        <f>IF($L902=0,"",$B902&amp;"|"&amp;$L902)</f>
      </c>
    </row>
    <row r="903" spans="1:13" x14ac:dyDescent="0.25">
      <c r="A903" s="24"/>
      <c r="B903" s="9"/>
      <c r="C903" s="20">
        <f>IF($B903="","",IFERROR(INDEX(Parc!$B$2:$B$301,MATCH($B903,Parc!$A$2:$A$301,0)),"Réf. inconnue"))</f>
      </c>
      <c r="D903" s="9"/>
      <c r="E903" s="9"/>
      <c r="F903" s="9"/>
      <c r="G903" s="9"/>
      <c r="H903" s="9"/>
      <c r="I903" s="24"/>
      <c r="J903" s="9"/>
      <c r="K903" s="9"/>
      <c r="L903" s="20">
        <f>IF(AND(ISNUMBER($A903),$B903&lt;&gt;"",$D903&lt;&gt;"Examen partiel (ne relance pas)"),IF($A903&lt;=TODAY(),$A903,0),0)</f>
      </c>
      <c r="M903" s="20">
        <f>IF($L903=0,"",$B903&amp;"|"&amp;$L903)</f>
      </c>
    </row>
    <row r="904" spans="1:13" x14ac:dyDescent="0.25">
      <c r="A904" s="24"/>
      <c r="B904" s="9"/>
      <c r="C904" s="20">
        <f>IF($B904="","",IFERROR(INDEX(Parc!$B$2:$B$301,MATCH($B904,Parc!$A$2:$A$301,0)),"Réf. inconnue"))</f>
      </c>
      <c r="D904" s="9"/>
      <c r="E904" s="9"/>
      <c r="F904" s="9"/>
      <c r="G904" s="9"/>
      <c r="H904" s="9"/>
      <c r="I904" s="24"/>
      <c r="J904" s="9"/>
      <c r="K904" s="9"/>
      <c r="L904" s="20">
        <f>IF(AND(ISNUMBER($A904),$B904&lt;&gt;"",$D904&lt;&gt;"Examen partiel (ne relance pas)"),IF($A904&lt;=TODAY(),$A904,0),0)</f>
      </c>
      <c r="M904" s="20">
        <f>IF($L904=0,"",$B904&amp;"|"&amp;$L904)</f>
      </c>
    </row>
    <row r="905" spans="1:13" x14ac:dyDescent="0.25">
      <c r="A905" s="24"/>
      <c r="B905" s="9"/>
      <c r="C905" s="20">
        <f>IF($B905="","",IFERROR(INDEX(Parc!$B$2:$B$301,MATCH($B905,Parc!$A$2:$A$301,0)),"Réf. inconnue"))</f>
      </c>
      <c r="D905" s="9"/>
      <c r="E905" s="9"/>
      <c r="F905" s="9"/>
      <c r="G905" s="9"/>
      <c r="H905" s="9"/>
      <c r="I905" s="24"/>
      <c r="J905" s="9"/>
      <c r="K905" s="9"/>
      <c r="L905" s="20">
        <f>IF(AND(ISNUMBER($A905),$B905&lt;&gt;"",$D905&lt;&gt;"Examen partiel (ne relance pas)"),IF($A905&lt;=TODAY(),$A905,0),0)</f>
      </c>
      <c r="M905" s="20">
        <f>IF($L905=0,"",$B905&amp;"|"&amp;$L905)</f>
      </c>
    </row>
    <row r="906" spans="1:13" x14ac:dyDescent="0.25">
      <c r="A906" s="24"/>
      <c r="B906" s="9"/>
      <c r="C906" s="20">
        <f>IF($B906="","",IFERROR(INDEX(Parc!$B$2:$B$301,MATCH($B906,Parc!$A$2:$A$301,0)),"Réf. inconnue"))</f>
      </c>
      <c r="D906" s="9"/>
      <c r="E906" s="9"/>
      <c r="F906" s="9"/>
      <c r="G906" s="9"/>
      <c r="H906" s="9"/>
      <c r="I906" s="24"/>
      <c r="J906" s="9"/>
      <c r="K906" s="9"/>
      <c r="L906" s="20">
        <f>IF(AND(ISNUMBER($A906),$B906&lt;&gt;"",$D906&lt;&gt;"Examen partiel (ne relance pas)"),IF($A906&lt;=TODAY(),$A906,0),0)</f>
      </c>
      <c r="M906" s="20">
        <f>IF($L906=0,"",$B906&amp;"|"&amp;$L906)</f>
      </c>
    </row>
    <row r="907" spans="1:13" x14ac:dyDescent="0.25">
      <c r="A907" s="24"/>
      <c r="B907" s="9"/>
      <c r="C907" s="20">
        <f>IF($B907="","",IFERROR(INDEX(Parc!$B$2:$B$301,MATCH($B907,Parc!$A$2:$A$301,0)),"Réf. inconnue"))</f>
      </c>
      <c r="D907" s="9"/>
      <c r="E907" s="9"/>
      <c r="F907" s="9"/>
      <c r="G907" s="9"/>
      <c r="H907" s="9"/>
      <c r="I907" s="24"/>
      <c r="J907" s="9"/>
      <c r="K907" s="9"/>
      <c r="L907" s="20">
        <f>IF(AND(ISNUMBER($A907),$B907&lt;&gt;"",$D907&lt;&gt;"Examen partiel (ne relance pas)"),IF($A907&lt;=TODAY(),$A907,0),0)</f>
      </c>
      <c r="M907" s="20">
        <f>IF($L907=0,"",$B907&amp;"|"&amp;$L907)</f>
      </c>
    </row>
    <row r="908" spans="1:13" x14ac:dyDescent="0.25">
      <c r="A908" s="24"/>
      <c r="B908" s="9"/>
      <c r="C908" s="20">
        <f>IF($B908="","",IFERROR(INDEX(Parc!$B$2:$B$301,MATCH($B908,Parc!$A$2:$A$301,0)),"Réf. inconnue"))</f>
      </c>
      <c r="D908" s="9"/>
      <c r="E908" s="9"/>
      <c r="F908" s="9"/>
      <c r="G908" s="9"/>
      <c r="H908" s="9"/>
      <c r="I908" s="24"/>
      <c r="J908" s="9"/>
      <c r="K908" s="9"/>
      <c r="L908" s="20">
        <f>IF(AND(ISNUMBER($A908),$B908&lt;&gt;"",$D908&lt;&gt;"Examen partiel (ne relance pas)"),IF($A908&lt;=TODAY(),$A908,0),0)</f>
      </c>
      <c r="M908" s="20">
        <f>IF($L908=0,"",$B908&amp;"|"&amp;$L908)</f>
      </c>
    </row>
    <row r="909" spans="1:13" x14ac:dyDescent="0.25">
      <c r="A909" s="24"/>
      <c r="B909" s="9"/>
      <c r="C909" s="20">
        <f>IF($B909="","",IFERROR(INDEX(Parc!$B$2:$B$301,MATCH($B909,Parc!$A$2:$A$301,0)),"Réf. inconnue"))</f>
      </c>
      <c r="D909" s="9"/>
      <c r="E909" s="9"/>
      <c r="F909" s="9"/>
      <c r="G909" s="9"/>
      <c r="H909" s="9"/>
      <c r="I909" s="24"/>
      <c r="J909" s="9"/>
      <c r="K909" s="9"/>
      <c r="L909" s="20">
        <f>IF(AND(ISNUMBER($A909),$B909&lt;&gt;"",$D909&lt;&gt;"Examen partiel (ne relance pas)"),IF($A909&lt;=TODAY(),$A909,0),0)</f>
      </c>
      <c r="M909" s="20">
        <f>IF($L909=0,"",$B909&amp;"|"&amp;$L909)</f>
      </c>
    </row>
    <row r="910" spans="1:13" x14ac:dyDescent="0.25">
      <c r="A910" s="24"/>
      <c r="B910" s="9"/>
      <c r="C910" s="20">
        <f>IF($B910="","",IFERROR(INDEX(Parc!$B$2:$B$301,MATCH($B910,Parc!$A$2:$A$301,0)),"Réf. inconnue"))</f>
      </c>
      <c r="D910" s="9"/>
      <c r="E910" s="9"/>
      <c r="F910" s="9"/>
      <c r="G910" s="9"/>
      <c r="H910" s="9"/>
      <c r="I910" s="24"/>
      <c r="J910" s="9"/>
      <c r="K910" s="9"/>
      <c r="L910" s="20">
        <f>IF(AND(ISNUMBER($A910),$B910&lt;&gt;"",$D910&lt;&gt;"Examen partiel (ne relance pas)"),IF($A910&lt;=TODAY(),$A910,0),0)</f>
      </c>
      <c r="M910" s="20">
        <f>IF($L910=0,"",$B910&amp;"|"&amp;$L910)</f>
      </c>
    </row>
    <row r="911" spans="1:13" x14ac:dyDescent="0.25">
      <c r="A911" s="24"/>
      <c r="B911" s="9"/>
      <c r="C911" s="20">
        <f>IF($B911="","",IFERROR(INDEX(Parc!$B$2:$B$301,MATCH($B911,Parc!$A$2:$A$301,0)),"Réf. inconnue"))</f>
      </c>
      <c r="D911" s="9"/>
      <c r="E911" s="9"/>
      <c r="F911" s="9"/>
      <c r="G911" s="9"/>
      <c r="H911" s="9"/>
      <c r="I911" s="24"/>
      <c r="J911" s="9"/>
      <c r="K911" s="9"/>
      <c r="L911" s="20">
        <f>IF(AND(ISNUMBER($A911),$B911&lt;&gt;"",$D911&lt;&gt;"Examen partiel (ne relance pas)"),IF($A911&lt;=TODAY(),$A911,0),0)</f>
      </c>
      <c r="M911" s="20">
        <f>IF($L911=0,"",$B911&amp;"|"&amp;$L911)</f>
      </c>
    </row>
    <row r="912" spans="1:13" x14ac:dyDescent="0.25">
      <c r="A912" s="24"/>
      <c r="B912" s="9"/>
      <c r="C912" s="20">
        <f>IF($B912="","",IFERROR(INDEX(Parc!$B$2:$B$301,MATCH($B912,Parc!$A$2:$A$301,0)),"Réf. inconnue"))</f>
      </c>
      <c r="D912" s="9"/>
      <c r="E912" s="9"/>
      <c r="F912" s="9"/>
      <c r="G912" s="9"/>
      <c r="H912" s="9"/>
      <c r="I912" s="24"/>
      <c r="J912" s="9"/>
      <c r="K912" s="9"/>
      <c r="L912" s="20">
        <f>IF(AND(ISNUMBER($A912),$B912&lt;&gt;"",$D912&lt;&gt;"Examen partiel (ne relance pas)"),IF($A912&lt;=TODAY(),$A912,0),0)</f>
      </c>
      <c r="M912" s="20">
        <f>IF($L912=0,"",$B912&amp;"|"&amp;$L912)</f>
      </c>
    </row>
    <row r="913" spans="1:13" x14ac:dyDescent="0.25">
      <c r="A913" s="24"/>
      <c r="B913" s="9"/>
      <c r="C913" s="20">
        <f>IF($B913="","",IFERROR(INDEX(Parc!$B$2:$B$301,MATCH($B913,Parc!$A$2:$A$301,0)),"Réf. inconnue"))</f>
      </c>
      <c r="D913" s="9"/>
      <c r="E913" s="9"/>
      <c r="F913" s="9"/>
      <c r="G913" s="9"/>
      <c r="H913" s="9"/>
      <c r="I913" s="24"/>
      <c r="J913" s="9"/>
      <c r="K913" s="9"/>
      <c r="L913" s="20">
        <f>IF(AND(ISNUMBER($A913),$B913&lt;&gt;"",$D913&lt;&gt;"Examen partiel (ne relance pas)"),IF($A913&lt;=TODAY(),$A913,0),0)</f>
      </c>
      <c r="M913" s="20">
        <f>IF($L913=0,"",$B913&amp;"|"&amp;$L913)</f>
      </c>
    </row>
    <row r="914" spans="1:13" x14ac:dyDescent="0.25">
      <c r="A914" s="24"/>
      <c r="B914" s="9"/>
      <c r="C914" s="20">
        <f>IF($B914="","",IFERROR(INDEX(Parc!$B$2:$B$301,MATCH($B914,Parc!$A$2:$A$301,0)),"Réf. inconnue"))</f>
      </c>
      <c r="D914" s="9"/>
      <c r="E914" s="9"/>
      <c r="F914" s="9"/>
      <c r="G914" s="9"/>
      <c r="H914" s="9"/>
      <c r="I914" s="24"/>
      <c r="J914" s="9"/>
      <c r="K914" s="9"/>
      <c r="L914" s="20">
        <f>IF(AND(ISNUMBER($A914),$B914&lt;&gt;"",$D914&lt;&gt;"Examen partiel (ne relance pas)"),IF($A914&lt;=TODAY(),$A914,0),0)</f>
      </c>
      <c r="M914" s="20">
        <f>IF($L914=0,"",$B914&amp;"|"&amp;$L914)</f>
      </c>
    </row>
    <row r="915" spans="1:13" x14ac:dyDescent="0.25">
      <c r="A915" s="24"/>
      <c r="B915" s="9"/>
      <c r="C915" s="20">
        <f>IF($B915="","",IFERROR(INDEX(Parc!$B$2:$B$301,MATCH($B915,Parc!$A$2:$A$301,0)),"Réf. inconnue"))</f>
      </c>
      <c r="D915" s="9"/>
      <c r="E915" s="9"/>
      <c r="F915" s="9"/>
      <c r="G915" s="9"/>
      <c r="H915" s="9"/>
      <c r="I915" s="24"/>
      <c r="J915" s="9"/>
      <c r="K915" s="9"/>
      <c r="L915" s="20">
        <f>IF(AND(ISNUMBER($A915),$B915&lt;&gt;"",$D915&lt;&gt;"Examen partiel (ne relance pas)"),IF($A915&lt;=TODAY(),$A915,0),0)</f>
      </c>
      <c r="M915" s="20">
        <f>IF($L915=0,"",$B915&amp;"|"&amp;$L915)</f>
      </c>
    </row>
    <row r="916" spans="1:13" x14ac:dyDescent="0.25">
      <c r="A916" s="24"/>
      <c r="B916" s="9"/>
      <c r="C916" s="20">
        <f>IF($B916="","",IFERROR(INDEX(Parc!$B$2:$B$301,MATCH($B916,Parc!$A$2:$A$301,0)),"Réf. inconnue"))</f>
      </c>
      <c r="D916" s="9"/>
      <c r="E916" s="9"/>
      <c r="F916" s="9"/>
      <c r="G916" s="9"/>
      <c r="H916" s="9"/>
      <c r="I916" s="24"/>
      <c r="J916" s="9"/>
      <c r="K916" s="9"/>
      <c r="L916" s="20">
        <f>IF(AND(ISNUMBER($A916),$B916&lt;&gt;"",$D916&lt;&gt;"Examen partiel (ne relance pas)"),IF($A916&lt;=TODAY(),$A916,0),0)</f>
      </c>
      <c r="M916" s="20">
        <f>IF($L916=0,"",$B916&amp;"|"&amp;$L916)</f>
      </c>
    </row>
    <row r="917" spans="1:13" x14ac:dyDescent="0.25">
      <c r="A917" s="24"/>
      <c r="B917" s="9"/>
      <c r="C917" s="20">
        <f>IF($B917="","",IFERROR(INDEX(Parc!$B$2:$B$301,MATCH($B917,Parc!$A$2:$A$301,0)),"Réf. inconnue"))</f>
      </c>
      <c r="D917" s="9"/>
      <c r="E917" s="9"/>
      <c r="F917" s="9"/>
      <c r="G917" s="9"/>
      <c r="H917" s="9"/>
      <c r="I917" s="24"/>
      <c r="J917" s="9"/>
      <c r="K917" s="9"/>
      <c r="L917" s="20">
        <f>IF(AND(ISNUMBER($A917),$B917&lt;&gt;"",$D917&lt;&gt;"Examen partiel (ne relance pas)"),IF($A917&lt;=TODAY(),$A917,0),0)</f>
      </c>
      <c r="M917" s="20">
        <f>IF($L917=0,"",$B917&amp;"|"&amp;$L917)</f>
      </c>
    </row>
    <row r="918" spans="1:13" x14ac:dyDescent="0.25">
      <c r="A918" s="24"/>
      <c r="B918" s="9"/>
      <c r="C918" s="20">
        <f>IF($B918="","",IFERROR(INDEX(Parc!$B$2:$B$301,MATCH($B918,Parc!$A$2:$A$301,0)),"Réf. inconnue"))</f>
      </c>
      <c r="D918" s="9"/>
      <c r="E918" s="9"/>
      <c r="F918" s="9"/>
      <c r="G918" s="9"/>
      <c r="H918" s="9"/>
      <c r="I918" s="24"/>
      <c r="J918" s="9"/>
      <c r="K918" s="9"/>
      <c r="L918" s="20">
        <f>IF(AND(ISNUMBER($A918),$B918&lt;&gt;"",$D918&lt;&gt;"Examen partiel (ne relance pas)"),IF($A918&lt;=TODAY(),$A918,0),0)</f>
      </c>
      <c r="M918" s="20">
        <f>IF($L918=0,"",$B918&amp;"|"&amp;$L918)</f>
      </c>
    </row>
    <row r="919" spans="1:13" x14ac:dyDescent="0.25">
      <c r="A919" s="24"/>
      <c r="B919" s="9"/>
      <c r="C919" s="20">
        <f>IF($B919="","",IFERROR(INDEX(Parc!$B$2:$B$301,MATCH($B919,Parc!$A$2:$A$301,0)),"Réf. inconnue"))</f>
      </c>
      <c r="D919" s="9"/>
      <c r="E919" s="9"/>
      <c r="F919" s="9"/>
      <c r="G919" s="9"/>
      <c r="H919" s="9"/>
      <c r="I919" s="24"/>
      <c r="J919" s="9"/>
      <c r="K919" s="9"/>
      <c r="L919" s="20">
        <f>IF(AND(ISNUMBER($A919),$B919&lt;&gt;"",$D919&lt;&gt;"Examen partiel (ne relance pas)"),IF($A919&lt;=TODAY(),$A919,0),0)</f>
      </c>
      <c r="M919" s="20">
        <f>IF($L919=0,"",$B919&amp;"|"&amp;$L919)</f>
      </c>
    </row>
    <row r="920" spans="1:13" x14ac:dyDescent="0.25">
      <c r="A920" s="24"/>
      <c r="B920" s="9"/>
      <c r="C920" s="20">
        <f>IF($B920="","",IFERROR(INDEX(Parc!$B$2:$B$301,MATCH($B920,Parc!$A$2:$A$301,0)),"Réf. inconnue"))</f>
      </c>
      <c r="D920" s="9"/>
      <c r="E920" s="9"/>
      <c r="F920" s="9"/>
      <c r="G920" s="9"/>
      <c r="H920" s="9"/>
      <c r="I920" s="24"/>
      <c r="J920" s="9"/>
      <c r="K920" s="9"/>
      <c r="L920" s="20">
        <f>IF(AND(ISNUMBER($A920),$B920&lt;&gt;"",$D920&lt;&gt;"Examen partiel (ne relance pas)"),IF($A920&lt;=TODAY(),$A920,0),0)</f>
      </c>
      <c r="M920" s="20">
        <f>IF($L920=0,"",$B920&amp;"|"&amp;$L920)</f>
      </c>
    </row>
    <row r="921" spans="1:13" x14ac:dyDescent="0.25">
      <c r="A921" s="24"/>
      <c r="B921" s="9"/>
      <c r="C921" s="20">
        <f>IF($B921="","",IFERROR(INDEX(Parc!$B$2:$B$301,MATCH($B921,Parc!$A$2:$A$301,0)),"Réf. inconnue"))</f>
      </c>
      <c r="D921" s="9"/>
      <c r="E921" s="9"/>
      <c r="F921" s="9"/>
      <c r="G921" s="9"/>
      <c r="H921" s="9"/>
      <c r="I921" s="24"/>
      <c r="J921" s="9"/>
      <c r="K921" s="9"/>
      <c r="L921" s="20">
        <f>IF(AND(ISNUMBER($A921),$B921&lt;&gt;"",$D921&lt;&gt;"Examen partiel (ne relance pas)"),IF($A921&lt;=TODAY(),$A921,0),0)</f>
      </c>
      <c r="M921" s="20">
        <f>IF($L921=0,"",$B921&amp;"|"&amp;$L921)</f>
      </c>
    </row>
    <row r="922" spans="1:13" x14ac:dyDescent="0.25">
      <c r="A922" s="24"/>
      <c r="B922" s="9"/>
      <c r="C922" s="20">
        <f>IF($B922="","",IFERROR(INDEX(Parc!$B$2:$B$301,MATCH($B922,Parc!$A$2:$A$301,0)),"Réf. inconnue"))</f>
      </c>
      <c r="D922" s="9"/>
      <c r="E922" s="9"/>
      <c r="F922" s="9"/>
      <c r="G922" s="9"/>
      <c r="H922" s="9"/>
      <c r="I922" s="24"/>
      <c r="J922" s="9"/>
      <c r="K922" s="9"/>
      <c r="L922" s="20">
        <f>IF(AND(ISNUMBER($A922),$B922&lt;&gt;"",$D922&lt;&gt;"Examen partiel (ne relance pas)"),IF($A922&lt;=TODAY(),$A922,0),0)</f>
      </c>
      <c r="M922" s="20">
        <f>IF($L922=0,"",$B922&amp;"|"&amp;$L922)</f>
      </c>
    </row>
    <row r="923" spans="1:13" x14ac:dyDescent="0.25">
      <c r="A923" s="24"/>
      <c r="B923" s="9"/>
      <c r="C923" s="20">
        <f>IF($B923="","",IFERROR(INDEX(Parc!$B$2:$B$301,MATCH($B923,Parc!$A$2:$A$301,0)),"Réf. inconnue"))</f>
      </c>
      <c r="D923" s="9"/>
      <c r="E923" s="9"/>
      <c r="F923" s="9"/>
      <c r="G923" s="9"/>
      <c r="H923" s="9"/>
      <c r="I923" s="24"/>
      <c r="J923" s="9"/>
      <c r="K923" s="9"/>
      <c r="L923" s="20">
        <f>IF(AND(ISNUMBER($A923),$B923&lt;&gt;"",$D923&lt;&gt;"Examen partiel (ne relance pas)"),IF($A923&lt;=TODAY(),$A923,0),0)</f>
      </c>
      <c r="M923" s="20">
        <f>IF($L923=0,"",$B923&amp;"|"&amp;$L923)</f>
      </c>
    </row>
    <row r="924" spans="1:13" x14ac:dyDescent="0.25">
      <c r="A924" s="24"/>
      <c r="B924" s="9"/>
      <c r="C924" s="20">
        <f>IF($B924="","",IFERROR(INDEX(Parc!$B$2:$B$301,MATCH($B924,Parc!$A$2:$A$301,0)),"Réf. inconnue"))</f>
      </c>
      <c r="D924" s="9"/>
      <c r="E924" s="9"/>
      <c r="F924" s="9"/>
      <c r="G924" s="9"/>
      <c r="H924" s="9"/>
      <c r="I924" s="24"/>
      <c r="J924" s="9"/>
      <c r="K924" s="9"/>
      <c r="L924" s="20">
        <f>IF(AND(ISNUMBER($A924),$B924&lt;&gt;"",$D924&lt;&gt;"Examen partiel (ne relance pas)"),IF($A924&lt;=TODAY(),$A924,0),0)</f>
      </c>
      <c r="M924" s="20">
        <f>IF($L924=0,"",$B924&amp;"|"&amp;$L924)</f>
      </c>
    </row>
    <row r="925" spans="1:13" x14ac:dyDescent="0.25">
      <c r="A925" s="24"/>
      <c r="B925" s="9"/>
      <c r="C925" s="20">
        <f>IF($B925="","",IFERROR(INDEX(Parc!$B$2:$B$301,MATCH($B925,Parc!$A$2:$A$301,0)),"Réf. inconnue"))</f>
      </c>
      <c r="D925" s="9"/>
      <c r="E925" s="9"/>
      <c r="F925" s="9"/>
      <c r="G925" s="9"/>
      <c r="H925" s="9"/>
      <c r="I925" s="24"/>
      <c r="J925" s="9"/>
      <c r="K925" s="9"/>
      <c r="L925" s="20">
        <f>IF(AND(ISNUMBER($A925),$B925&lt;&gt;"",$D925&lt;&gt;"Examen partiel (ne relance pas)"),IF($A925&lt;=TODAY(),$A925,0),0)</f>
      </c>
      <c r="M925" s="20">
        <f>IF($L925=0,"",$B925&amp;"|"&amp;$L925)</f>
      </c>
    </row>
    <row r="926" spans="1:13" x14ac:dyDescent="0.25">
      <c r="A926" s="24"/>
      <c r="B926" s="9"/>
      <c r="C926" s="20">
        <f>IF($B926="","",IFERROR(INDEX(Parc!$B$2:$B$301,MATCH($B926,Parc!$A$2:$A$301,0)),"Réf. inconnue"))</f>
      </c>
      <c r="D926" s="9"/>
      <c r="E926" s="9"/>
      <c r="F926" s="9"/>
      <c r="G926" s="9"/>
      <c r="H926" s="9"/>
      <c r="I926" s="24"/>
      <c r="J926" s="9"/>
      <c r="K926" s="9"/>
      <c r="L926" s="20">
        <f>IF(AND(ISNUMBER($A926),$B926&lt;&gt;"",$D926&lt;&gt;"Examen partiel (ne relance pas)"),IF($A926&lt;=TODAY(),$A926,0),0)</f>
      </c>
      <c r="M926" s="20">
        <f>IF($L926=0,"",$B926&amp;"|"&amp;$L926)</f>
      </c>
    </row>
    <row r="927" spans="1:13" x14ac:dyDescent="0.25">
      <c r="A927" s="24"/>
      <c r="B927" s="9"/>
      <c r="C927" s="20">
        <f>IF($B927="","",IFERROR(INDEX(Parc!$B$2:$B$301,MATCH($B927,Parc!$A$2:$A$301,0)),"Réf. inconnue"))</f>
      </c>
      <c r="D927" s="9"/>
      <c r="E927" s="9"/>
      <c r="F927" s="9"/>
      <c r="G927" s="9"/>
      <c r="H927" s="9"/>
      <c r="I927" s="24"/>
      <c r="J927" s="9"/>
      <c r="K927" s="9"/>
      <c r="L927" s="20">
        <f>IF(AND(ISNUMBER($A927),$B927&lt;&gt;"",$D927&lt;&gt;"Examen partiel (ne relance pas)"),IF($A927&lt;=TODAY(),$A927,0),0)</f>
      </c>
      <c r="M927" s="20">
        <f>IF($L927=0,"",$B927&amp;"|"&amp;$L927)</f>
      </c>
    </row>
    <row r="928" spans="1:13" x14ac:dyDescent="0.25">
      <c r="A928" s="24"/>
      <c r="B928" s="9"/>
      <c r="C928" s="20">
        <f>IF($B928="","",IFERROR(INDEX(Parc!$B$2:$B$301,MATCH($B928,Parc!$A$2:$A$301,0)),"Réf. inconnue"))</f>
      </c>
      <c r="D928" s="9"/>
      <c r="E928" s="9"/>
      <c r="F928" s="9"/>
      <c r="G928" s="9"/>
      <c r="H928" s="9"/>
      <c r="I928" s="24"/>
      <c r="J928" s="9"/>
      <c r="K928" s="9"/>
      <c r="L928" s="20">
        <f>IF(AND(ISNUMBER($A928),$B928&lt;&gt;"",$D928&lt;&gt;"Examen partiel (ne relance pas)"),IF($A928&lt;=TODAY(),$A928,0),0)</f>
      </c>
      <c r="M928" s="20">
        <f>IF($L928=0,"",$B928&amp;"|"&amp;$L928)</f>
      </c>
    </row>
    <row r="929" spans="1:13" x14ac:dyDescent="0.25">
      <c r="A929" s="24"/>
      <c r="B929" s="9"/>
      <c r="C929" s="20">
        <f>IF($B929="","",IFERROR(INDEX(Parc!$B$2:$B$301,MATCH($B929,Parc!$A$2:$A$301,0)),"Réf. inconnue"))</f>
      </c>
      <c r="D929" s="9"/>
      <c r="E929" s="9"/>
      <c r="F929" s="9"/>
      <c r="G929" s="9"/>
      <c r="H929" s="9"/>
      <c r="I929" s="24"/>
      <c r="J929" s="9"/>
      <c r="K929" s="9"/>
      <c r="L929" s="20">
        <f>IF(AND(ISNUMBER($A929),$B929&lt;&gt;"",$D929&lt;&gt;"Examen partiel (ne relance pas)"),IF($A929&lt;=TODAY(),$A929,0),0)</f>
      </c>
      <c r="M929" s="20">
        <f>IF($L929=0,"",$B929&amp;"|"&amp;$L929)</f>
      </c>
    </row>
    <row r="930" spans="1:13" x14ac:dyDescent="0.25">
      <c r="A930" s="24"/>
      <c r="B930" s="9"/>
      <c r="C930" s="20">
        <f>IF($B930="","",IFERROR(INDEX(Parc!$B$2:$B$301,MATCH($B930,Parc!$A$2:$A$301,0)),"Réf. inconnue"))</f>
      </c>
      <c r="D930" s="9"/>
      <c r="E930" s="9"/>
      <c r="F930" s="9"/>
      <c r="G930" s="9"/>
      <c r="H930" s="9"/>
      <c r="I930" s="24"/>
      <c r="J930" s="9"/>
      <c r="K930" s="9"/>
      <c r="L930" s="20">
        <f>IF(AND(ISNUMBER($A930),$B930&lt;&gt;"",$D930&lt;&gt;"Examen partiel (ne relance pas)"),IF($A930&lt;=TODAY(),$A930,0),0)</f>
      </c>
      <c r="M930" s="20">
        <f>IF($L930=0,"",$B930&amp;"|"&amp;$L930)</f>
      </c>
    </row>
    <row r="931" spans="1:13" x14ac:dyDescent="0.25">
      <c r="A931" s="24"/>
      <c r="B931" s="9"/>
      <c r="C931" s="20">
        <f>IF($B931="","",IFERROR(INDEX(Parc!$B$2:$B$301,MATCH($B931,Parc!$A$2:$A$301,0)),"Réf. inconnue"))</f>
      </c>
      <c r="D931" s="9"/>
      <c r="E931" s="9"/>
      <c r="F931" s="9"/>
      <c r="G931" s="9"/>
      <c r="H931" s="9"/>
      <c r="I931" s="24"/>
      <c r="J931" s="9"/>
      <c r="K931" s="9"/>
      <c r="L931" s="20">
        <f>IF(AND(ISNUMBER($A931),$B931&lt;&gt;"",$D931&lt;&gt;"Examen partiel (ne relance pas)"),IF($A931&lt;=TODAY(),$A931,0),0)</f>
      </c>
      <c r="M931" s="20">
        <f>IF($L931=0,"",$B931&amp;"|"&amp;$L931)</f>
      </c>
    </row>
    <row r="932" spans="1:13" x14ac:dyDescent="0.25">
      <c r="A932" s="24"/>
      <c r="B932" s="9"/>
      <c r="C932" s="20">
        <f>IF($B932="","",IFERROR(INDEX(Parc!$B$2:$B$301,MATCH($B932,Parc!$A$2:$A$301,0)),"Réf. inconnue"))</f>
      </c>
      <c r="D932" s="9"/>
      <c r="E932" s="9"/>
      <c r="F932" s="9"/>
      <c r="G932" s="9"/>
      <c r="H932" s="9"/>
      <c r="I932" s="24"/>
      <c r="J932" s="9"/>
      <c r="K932" s="9"/>
      <c r="L932" s="20">
        <f>IF(AND(ISNUMBER($A932),$B932&lt;&gt;"",$D932&lt;&gt;"Examen partiel (ne relance pas)"),IF($A932&lt;=TODAY(),$A932,0),0)</f>
      </c>
      <c r="M932" s="20">
        <f>IF($L932=0,"",$B932&amp;"|"&amp;$L932)</f>
      </c>
    </row>
    <row r="933" spans="1:13" x14ac:dyDescent="0.25">
      <c r="A933" s="24"/>
      <c r="B933" s="9"/>
      <c r="C933" s="20">
        <f>IF($B933="","",IFERROR(INDEX(Parc!$B$2:$B$301,MATCH($B933,Parc!$A$2:$A$301,0)),"Réf. inconnue"))</f>
      </c>
      <c r="D933" s="9"/>
      <c r="E933" s="9"/>
      <c r="F933" s="9"/>
      <c r="G933" s="9"/>
      <c r="H933" s="9"/>
      <c r="I933" s="24"/>
      <c r="J933" s="9"/>
      <c r="K933" s="9"/>
      <c r="L933" s="20">
        <f>IF(AND(ISNUMBER($A933),$B933&lt;&gt;"",$D933&lt;&gt;"Examen partiel (ne relance pas)"),IF($A933&lt;=TODAY(),$A933,0),0)</f>
      </c>
      <c r="M933" s="20">
        <f>IF($L933=0,"",$B933&amp;"|"&amp;$L933)</f>
      </c>
    </row>
    <row r="934" spans="1:13" x14ac:dyDescent="0.25">
      <c r="A934" s="24"/>
      <c r="B934" s="9"/>
      <c r="C934" s="20">
        <f>IF($B934="","",IFERROR(INDEX(Parc!$B$2:$B$301,MATCH($B934,Parc!$A$2:$A$301,0)),"Réf. inconnue"))</f>
      </c>
      <c r="D934" s="9"/>
      <c r="E934" s="9"/>
      <c r="F934" s="9"/>
      <c r="G934" s="9"/>
      <c r="H934" s="9"/>
      <c r="I934" s="24"/>
      <c r="J934" s="9"/>
      <c r="K934" s="9"/>
      <c r="L934" s="20">
        <f>IF(AND(ISNUMBER($A934),$B934&lt;&gt;"",$D934&lt;&gt;"Examen partiel (ne relance pas)"),IF($A934&lt;=TODAY(),$A934,0),0)</f>
      </c>
      <c r="M934" s="20">
        <f>IF($L934=0,"",$B934&amp;"|"&amp;$L934)</f>
      </c>
    </row>
    <row r="935" spans="1:13" x14ac:dyDescent="0.25">
      <c r="A935" s="24"/>
      <c r="B935" s="9"/>
      <c r="C935" s="20">
        <f>IF($B935="","",IFERROR(INDEX(Parc!$B$2:$B$301,MATCH($B935,Parc!$A$2:$A$301,0)),"Réf. inconnue"))</f>
      </c>
      <c r="D935" s="9"/>
      <c r="E935" s="9"/>
      <c r="F935" s="9"/>
      <c r="G935" s="9"/>
      <c r="H935" s="9"/>
      <c r="I935" s="24"/>
      <c r="J935" s="9"/>
      <c r="K935" s="9"/>
      <c r="L935" s="20">
        <f>IF(AND(ISNUMBER($A935),$B935&lt;&gt;"",$D935&lt;&gt;"Examen partiel (ne relance pas)"),IF($A935&lt;=TODAY(),$A935,0),0)</f>
      </c>
      <c r="M935" s="20">
        <f>IF($L935=0,"",$B935&amp;"|"&amp;$L935)</f>
      </c>
    </row>
    <row r="936" spans="1:13" x14ac:dyDescent="0.25">
      <c r="A936" s="24"/>
      <c r="B936" s="9"/>
      <c r="C936" s="20">
        <f>IF($B936="","",IFERROR(INDEX(Parc!$B$2:$B$301,MATCH($B936,Parc!$A$2:$A$301,0)),"Réf. inconnue"))</f>
      </c>
      <c r="D936" s="9"/>
      <c r="E936" s="9"/>
      <c r="F936" s="9"/>
      <c r="G936" s="9"/>
      <c r="H936" s="9"/>
      <c r="I936" s="24"/>
      <c r="J936" s="9"/>
      <c r="K936" s="9"/>
      <c r="L936" s="20">
        <f>IF(AND(ISNUMBER($A936),$B936&lt;&gt;"",$D936&lt;&gt;"Examen partiel (ne relance pas)"),IF($A936&lt;=TODAY(),$A936,0),0)</f>
      </c>
      <c r="M936" s="20">
        <f>IF($L936=0,"",$B936&amp;"|"&amp;$L936)</f>
      </c>
    </row>
    <row r="937" spans="1:13" x14ac:dyDescent="0.25">
      <c r="A937" s="24"/>
      <c r="B937" s="9"/>
      <c r="C937" s="20">
        <f>IF($B937="","",IFERROR(INDEX(Parc!$B$2:$B$301,MATCH($B937,Parc!$A$2:$A$301,0)),"Réf. inconnue"))</f>
      </c>
      <c r="D937" s="9"/>
      <c r="E937" s="9"/>
      <c r="F937" s="9"/>
      <c r="G937" s="9"/>
      <c r="H937" s="9"/>
      <c r="I937" s="24"/>
      <c r="J937" s="9"/>
      <c r="K937" s="9"/>
      <c r="L937" s="20">
        <f>IF(AND(ISNUMBER($A937),$B937&lt;&gt;"",$D937&lt;&gt;"Examen partiel (ne relance pas)"),IF($A937&lt;=TODAY(),$A937,0),0)</f>
      </c>
      <c r="M937" s="20">
        <f>IF($L937=0,"",$B937&amp;"|"&amp;$L937)</f>
      </c>
    </row>
    <row r="938" spans="1:13" x14ac:dyDescent="0.25">
      <c r="A938" s="24"/>
      <c r="B938" s="9"/>
      <c r="C938" s="20">
        <f>IF($B938="","",IFERROR(INDEX(Parc!$B$2:$B$301,MATCH($B938,Parc!$A$2:$A$301,0)),"Réf. inconnue"))</f>
      </c>
      <c r="D938" s="9"/>
      <c r="E938" s="9"/>
      <c r="F938" s="9"/>
      <c r="G938" s="9"/>
      <c r="H938" s="9"/>
      <c r="I938" s="24"/>
      <c r="J938" s="9"/>
      <c r="K938" s="9"/>
      <c r="L938" s="20">
        <f>IF(AND(ISNUMBER($A938),$B938&lt;&gt;"",$D938&lt;&gt;"Examen partiel (ne relance pas)"),IF($A938&lt;=TODAY(),$A938,0),0)</f>
      </c>
      <c r="M938" s="20">
        <f>IF($L938=0,"",$B938&amp;"|"&amp;$L938)</f>
      </c>
    </row>
    <row r="939" spans="1:13" x14ac:dyDescent="0.25">
      <c r="A939" s="24"/>
      <c r="B939" s="9"/>
      <c r="C939" s="20">
        <f>IF($B939="","",IFERROR(INDEX(Parc!$B$2:$B$301,MATCH($B939,Parc!$A$2:$A$301,0)),"Réf. inconnue"))</f>
      </c>
      <c r="D939" s="9"/>
      <c r="E939" s="9"/>
      <c r="F939" s="9"/>
      <c r="G939" s="9"/>
      <c r="H939" s="9"/>
      <c r="I939" s="24"/>
      <c r="J939" s="9"/>
      <c r="K939" s="9"/>
      <c r="L939" s="20">
        <f>IF(AND(ISNUMBER($A939),$B939&lt;&gt;"",$D939&lt;&gt;"Examen partiel (ne relance pas)"),IF($A939&lt;=TODAY(),$A939,0),0)</f>
      </c>
      <c r="M939" s="20">
        <f>IF($L939=0,"",$B939&amp;"|"&amp;$L939)</f>
      </c>
    </row>
    <row r="940" spans="1:13" x14ac:dyDescent="0.25">
      <c r="A940" s="24"/>
      <c r="B940" s="9"/>
      <c r="C940" s="20">
        <f>IF($B940="","",IFERROR(INDEX(Parc!$B$2:$B$301,MATCH($B940,Parc!$A$2:$A$301,0)),"Réf. inconnue"))</f>
      </c>
      <c r="D940" s="9"/>
      <c r="E940" s="9"/>
      <c r="F940" s="9"/>
      <c r="G940" s="9"/>
      <c r="H940" s="9"/>
      <c r="I940" s="24"/>
      <c r="J940" s="9"/>
      <c r="K940" s="9"/>
      <c r="L940" s="20">
        <f>IF(AND(ISNUMBER($A940),$B940&lt;&gt;"",$D940&lt;&gt;"Examen partiel (ne relance pas)"),IF($A940&lt;=TODAY(),$A940,0),0)</f>
      </c>
      <c r="M940" s="20">
        <f>IF($L940=0,"",$B940&amp;"|"&amp;$L940)</f>
      </c>
    </row>
    <row r="941" spans="1:13" x14ac:dyDescent="0.25">
      <c r="A941" s="24"/>
      <c r="B941" s="9"/>
      <c r="C941" s="20">
        <f>IF($B941="","",IFERROR(INDEX(Parc!$B$2:$B$301,MATCH($B941,Parc!$A$2:$A$301,0)),"Réf. inconnue"))</f>
      </c>
      <c r="D941" s="9"/>
      <c r="E941" s="9"/>
      <c r="F941" s="9"/>
      <c r="G941" s="9"/>
      <c r="H941" s="9"/>
      <c r="I941" s="24"/>
      <c r="J941" s="9"/>
      <c r="K941" s="9"/>
      <c r="L941" s="20">
        <f>IF(AND(ISNUMBER($A941),$B941&lt;&gt;"",$D941&lt;&gt;"Examen partiel (ne relance pas)"),IF($A941&lt;=TODAY(),$A941,0),0)</f>
      </c>
      <c r="M941" s="20">
        <f>IF($L941=0,"",$B941&amp;"|"&amp;$L941)</f>
      </c>
    </row>
    <row r="942" spans="1:13" x14ac:dyDescent="0.25">
      <c r="A942" s="24"/>
      <c r="B942" s="9"/>
      <c r="C942" s="20">
        <f>IF($B942="","",IFERROR(INDEX(Parc!$B$2:$B$301,MATCH($B942,Parc!$A$2:$A$301,0)),"Réf. inconnue"))</f>
      </c>
      <c r="D942" s="9"/>
      <c r="E942" s="9"/>
      <c r="F942" s="9"/>
      <c r="G942" s="9"/>
      <c r="H942" s="9"/>
      <c r="I942" s="24"/>
      <c r="J942" s="9"/>
      <c r="K942" s="9"/>
      <c r="L942" s="20">
        <f>IF(AND(ISNUMBER($A942),$B942&lt;&gt;"",$D942&lt;&gt;"Examen partiel (ne relance pas)"),IF($A942&lt;=TODAY(),$A942,0),0)</f>
      </c>
      <c r="M942" s="20">
        <f>IF($L942=0,"",$B942&amp;"|"&amp;$L942)</f>
      </c>
    </row>
    <row r="943" spans="1:13" x14ac:dyDescent="0.25">
      <c r="A943" s="24"/>
      <c r="B943" s="9"/>
      <c r="C943" s="20">
        <f>IF($B943="","",IFERROR(INDEX(Parc!$B$2:$B$301,MATCH($B943,Parc!$A$2:$A$301,0)),"Réf. inconnue"))</f>
      </c>
      <c r="D943" s="9"/>
      <c r="E943" s="9"/>
      <c r="F943" s="9"/>
      <c r="G943" s="9"/>
      <c r="H943" s="9"/>
      <c r="I943" s="24"/>
      <c r="J943" s="9"/>
      <c r="K943" s="9"/>
      <c r="L943" s="20">
        <f>IF(AND(ISNUMBER($A943),$B943&lt;&gt;"",$D943&lt;&gt;"Examen partiel (ne relance pas)"),IF($A943&lt;=TODAY(),$A943,0),0)</f>
      </c>
      <c r="M943" s="20">
        <f>IF($L943=0,"",$B943&amp;"|"&amp;$L943)</f>
      </c>
    </row>
    <row r="944" spans="1:13" x14ac:dyDescent="0.25">
      <c r="A944" s="24"/>
      <c r="B944" s="9"/>
      <c r="C944" s="20">
        <f>IF($B944="","",IFERROR(INDEX(Parc!$B$2:$B$301,MATCH($B944,Parc!$A$2:$A$301,0)),"Réf. inconnue"))</f>
      </c>
      <c r="D944" s="9"/>
      <c r="E944" s="9"/>
      <c r="F944" s="9"/>
      <c r="G944" s="9"/>
      <c r="H944" s="9"/>
      <c r="I944" s="24"/>
      <c r="J944" s="9"/>
      <c r="K944" s="9"/>
      <c r="L944" s="20">
        <f>IF(AND(ISNUMBER($A944),$B944&lt;&gt;"",$D944&lt;&gt;"Examen partiel (ne relance pas)"),IF($A944&lt;=TODAY(),$A944,0),0)</f>
      </c>
      <c r="M944" s="20">
        <f>IF($L944=0,"",$B944&amp;"|"&amp;$L944)</f>
      </c>
    </row>
    <row r="945" spans="1:13" x14ac:dyDescent="0.25">
      <c r="A945" s="24"/>
      <c r="B945" s="9"/>
      <c r="C945" s="20">
        <f>IF($B945="","",IFERROR(INDEX(Parc!$B$2:$B$301,MATCH($B945,Parc!$A$2:$A$301,0)),"Réf. inconnue"))</f>
      </c>
      <c r="D945" s="9"/>
      <c r="E945" s="9"/>
      <c r="F945" s="9"/>
      <c r="G945" s="9"/>
      <c r="H945" s="9"/>
      <c r="I945" s="24"/>
      <c r="J945" s="9"/>
      <c r="K945" s="9"/>
      <c r="L945" s="20">
        <f>IF(AND(ISNUMBER($A945),$B945&lt;&gt;"",$D945&lt;&gt;"Examen partiel (ne relance pas)"),IF($A945&lt;=TODAY(),$A945,0),0)</f>
      </c>
      <c r="M945" s="20">
        <f>IF($L945=0,"",$B945&amp;"|"&amp;$L945)</f>
      </c>
    </row>
    <row r="946" spans="1:13" x14ac:dyDescent="0.25">
      <c r="A946" s="24"/>
      <c r="B946" s="9"/>
      <c r="C946" s="20">
        <f>IF($B946="","",IFERROR(INDEX(Parc!$B$2:$B$301,MATCH($B946,Parc!$A$2:$A$301,0)),"Réf. inconnue"))</f>
      </c>
      <c r="D946" s="9"/>
      <c r="E946" s="9"/>
      <c r="F946" s="9"/>
      <c r="G946" s="9"/>
      <c r="H946" s="9"/>
      <c r="I946" s="24"/>
      <c r="J946" s="9"/>
      <c r="K946" s="9"/>
      <c r="L946" s="20">
        <f>IF(AND(ISNUMBER($A946),$B946&lt;&gt;"",$D946&lt;&gt;"Examen partiel (ne relance pas)"),IF($A946&lt;=TODAY(),$A946,0),0)</f>
      </c>
      <c r="M946" s="20">
        <f>IF($L946=0,"",$B946&amp;"|"&amp;$L946)</f>
      </c>
    </row>
    <row r="947" spans="1:13" x14ac:dyDescent="0.25">
      <c r="A947" s="24"/>
      <c r="B947" s="9"/>
      <c r="C947" s="20">
        <f>IF($B947="","",IFERROR(INDEX(Parc!$B$2:$B$301,MATCH($B947,Parc!$A$2:$A$301,0)),"Réf. inconnue"))</f>
      </c>
      <c r="D947" s="9"/>
      <c r="E947" s="9"/>
      <c r="F947" s="9"/>
      <c r="G947" s="9"/>
      <c r="H947" s="9"/>
      <c r="I947" s="24"/>
      <c r="J947" s="9"/>
      <c r="K947" s="9"/>
      <c r="L947" s="20">
        <f>IF(AND(ISNUMBER($A947),$B947&lt;&gt;"",$D947&lt;&gt;"Examen partiel (ne relance pas)"),IF($A947&lt;=TODAY(),$A947,0),0)</f>
      </c>
      <c r="M947" s="20">
        <f>IF($L947=0,"",$B947&amp;"|"&amp;$L947)</f>
      </c>
    </row>
    <row r="948" spans="1:13" x14ac:dyDescent="0.25">
      <c r="A948" s="24"/>
      <c r="B948" s="9"/>
      <c r="C948" s="20">
        <f>IF($B948="","",IFERROR(INDEX(Parc!$B$2:$B$301,MATCH($B948,Parc!$A$2:$A$301,0)),"Réf. inconnue"))</f>
      </c>
      <c r="D948" s="9"/>
      <c r="E948" s="9"/>
      <c r="F948" s="9"/>
      <c r="G948" s="9"/>
      <c r="H948" s="9"/>
      <c r="I948" s="24"/>
      <c r="J948" s="9"/>
      <c r="K948" s="9"/>
      <c r="L948" s="20">
        <f>IF(AND(ISNUMBER($A948),$B948&lt;&gt;"",$D948&lt;&gt;"Examen partiel (ne relance pas)"),IF($A948&lt;=TODAY(),$A948,0),0)</f>
      </c>
      <c r="M948" s="20">
        <f>IF($L948=0,"",$B948&amp;"|"&amp;$L948)</f>
      </c>
    </row>
    <row r="949" spans="1:13" x14ac:dyDescent="0.25">
      <c r="A949" s="24"/>
      <c r="B949" s="9"/>
      <c r="C949" s="20">
        <f>IF($B949="","",IFERROR(INDEX(Parc!$B$2:$B$301,MATCH($B949,Parc!$A$2:$A$301,0)),"Réf. inconnue"))</f>
      </c>
      <c r="D949" s="9"/>
      <c r="E949" s="9"/>
      <c r="F949" s="9"/>
      <c r="G949" s="9"/>
      <c r="H949" s="9"/>
      <c r="I949" s="24"/>
      <c r="J949" s="9"/>
      <c r="K949" s="9"/>
      <c r="L949" s="20">
        <f>IF(AND(ISNUMBER($A949),$B949&lt;&gt;"",$D949&lt;&gt;"Examen partiel (ne relance pas)"),IF($A949&lt;=TODAY(),$A949,0),0)</f>
      </c>
      <c r="M949" s="20">
        <f>IF($L949=0,"",$B949&amp;"|"&amp;$L949)</f>
      </c>
    </row>
    <row r="950" spans="1:13" x14ac:dyDescent="0.25">
      <c r="A950" s="24"/>
      <c r="B950" s="9"/>
      <c r="C950" s="20">
        <f>IF($B950="","",IFERROR(INDEX(Parc!$B$2:$B$301,MATCH($B950,Parc!$A$2:$A$301,0)),"Réf. inconnue"))</f>
      </c>
      <c r="D950" s="9"/>
      <c r="E950" s="9"/>
      <c r="F950" s="9"/>
      <c r="G950" s="9"/>
      <c r="H950" s="9"/>
      <c r="I950" s="24"/>
      <c r="J950" s="9"/>
      <c r="K950" s="9"/>
      <c r="L950" s="20">
        <f>IF(AND(ISNUMBER($A950),$B950&lt;&gt;"",$D950&lt;&gt;"Examen partiel (ne relance pas)"),IF($A950&lt;=TODAY(),$A950,0),0)</f>
      </c>
      <c r="M950" s="20">
        <f>IF($L950=0,"",$B950&amp;"|"&amp;$L950)</f>
      </c>
    </row>
    <row r="951" spans="1:13" x14ac:dyDescent="0.25">
      <c r="A951" s="24"/>
      <c r="B951" s="9"/>
      <c r="C951" s="20">
        <f>IF($B951="","",IFERROR(INDEX(Parc!$B$2:$B$301,MATCH($B951,Parc!$A$2:$A$301,0)),"Réf. inconnue"))</f>
      </c>
      <c r="D951" s="9"/>
      <c r="E951" s="9"/>
      <c r="F951" s="9"/>
      <c r="G951" s="9"/>
      <c r="H951" s="9"/>
      <c r="I951" s="24"/>
      <c r="J951" s="9"/>
      <c r="K951" s="9"/>
      <c r="L951" s="20">
        <f>IF(AND(ISNUMBER($A951),$B951&lt;&gt;"",$D951&lt;&gt;"Examen partiel (ne relance pas)"),IF($A951&lt;=TODAY(),$A951,0),0)</f>
      </c>
      <c r="M951" s="20">
        <f>IF($L951=0,"",$B951&amp;"|"&amp;$L951)</f>
      </c>
    </row>
    <row r="952" spans="1:13" x14ac:dyDescent="0.25">
      <c r="A952" s="24"/>
      <c r="B952" s="9"/>
      <c r="C952" s="20">
        <f>IF($B952="","",IFERROR(INDEX(Parc!$B$2:$B$301,MATCH($B952,Parc!$A$2:$A$301,0)),"Réf. inconnue"))</f>
      </c>
      <c r="D952" s="9"/>
      <c r="E952" s="9"/>
      <c r="F952" s="9"/>
      <c r="G952" s="9"/>
      <c r="H952" s="9"/>
      <c r="I952" s="24"/>
      <c r="J952" s="9"/>
      <c r="K952" s="9"/>
      <c r="L952" s="20">
        <f>IF(AND(ISNUMBER($A952),$B952&lt;&gt;"",$D952&lt;&gt;"Examen partiel (ne relance pas)"),IF($A952&lt;=TODAY(),$A952,0),0)</f>
      </c>
      <c r="M952" s="20">
        <f>IF($L952=0,"",$B952&amp;"|"&amp;$L952)</f>
      </c>
    </row>
    <row r="953" spans="1:13" x14ac:dyDescent="0.25">
      <c r="A953" s="24"/>
      <c r="B953" s="9"/>
      <c r="C953" s="20">
        <f>IF($B953="","",IFERROR(INDEX(Parc!$B$2:$B$301,MATCH($B953,Parc!$A$2:$A$301,0)),"Réf. inconnue"))</f>
      </c>
      <c r="D953" s="9"/>
      <c r="E953" s="9"/>
      <c r="F953" s="9"/>
      <c r="G953" s="9"/>
      <c r="H953" s="9"/>
      <c r="I953" s="24"/>
      <c r="J953" s="9"/>
      <c r="K953" s="9"/>
      <c r="L953" s="20">
        <f>IF(AND(ISNUMBER($A953),$B953&lt;&gt;"",$D953&lt;&gt;"Examen partiel (ne relance pas)"),IF($A953&lt;=TODAY(),$A953,0),0)</f>
      </c>
      <c r="M953" s="20">
        <f>IF($L953=0,"",$B953&amp;"|"&amp;$L953)</f>
      </c>
    </row>
    <row r="954" spans="1:13" x14ac:dyDescent="0.25">
      <c r="A954" s="24"/>
      <c r="B954" s="9"/>
      <c r="C954" s="20">
        <f>IF($B954="","",IFERROR(INDEX(Parc!$B$2:$B$301,MATCH($B954,Parc!$A$2:$A$301,0)),"Réf. inconnue"))</f>
      </c>
      <c r="D954" s="9"/>
      <c r="E954" s="9"/>
      <c r="F954" s="9"/>
      <c r="G954" s="9"/>
      <c r="H954" s="9"/>
      <c r="I954" s="24"/>
      <c r="J954" s="9"/>
      <c r="K954" s="9"/>
      <c r="L954" s="20">
        <f>IF(AND(ISNUMBER($A954),$B954&lt;&gt;"",$D954&lt;&gt;"Examen partiel (ne relance pas)"),IF($A954&lt;=TODAY(),$A954,0),0)</f>
      </c>
      <c r="M954" s="20">
        <f>IF($L954=0,"",$B954&amp;"|"&amp;$L954)</f>
      </c>
    </row>
    <row r="955" spans="1:13" x14ac:dyDescent="0.25">
      <c r="A955" s="24"/>
      <c r="B955" s="9"/>
      <c r="C955" s="20">
        <f>IF($B955="","",IFERROR(INDEX(Parc!$B$2:$B$301,MATCH($B955,Parc!$A$2:$A$301,0)),"Réf. inconnue"))</f>
      </c>
      <c r="D955" s="9"/>
      <c r="E955" s="9"/>
      <c r="F955" s="9"/>
      <c r="G955" s="9"/>
      <c r="H955" s="9"/>
      <c r="I955" s="24"/>
      <c r="J955" s="9"/>
      <c r="K955" s="9"/>
      <c r="L955" s="20">
        <f>IF(AND(ISNUMBER($A955),$B955&lt;&gt;"",$D955&lt;&gt;"Examen partiel (ne relance pas)"),IF($A955&lt;=TODAY(),$A955,0),0)</f>
      </c>
      <c r="M955" s="20">
        <f>IF($L955=0,"",$B955&amp;"|"&amp;$L955)</f>
      </c>
    </row>
    <row r="956" spans="1:13" x14ac:dyDescent="0.25">
      <c r="A956" s="24"/>
      <c r="B956" s="9"/>
      <c r="C956" s="20">
        <f>IF($B956="","",IFERROR(INDEX(Parc!$B$2:$B$301,MATCH($B956,Parc!$A$2:$A$301,0)),"Réf. inconnue"))</f>
      </c>
      <c r="D956" s="9"/>
      <c r="E956" s="9"/>
      <c r="F956" s="9"/>
      <c r="G956" s="9"/>
      <c r="H956" s="9"/>
      <c r="I956" s="24"/>
      <c r="J956" s="9"/>
      <c r="K956" s="9"/>
      <c r="L956" s="20">
        <f>IF(AND(ISNUMBER($A956),$B956&lt;&gt;"",$D956&lt;&gt;"Examen partiel (ne relance pas)"),IF($A956&lt;=TODAY(),$A956,0),0)</f>
      </c>
      <c r="M956" s="20">
        <f>IF($L956=0,"",$B956&amp;"|"&amp;$L956)</f>
      </c>
    </row>
    <row r="957" spans="1:13" x14ac:dyDescent="0.25">
      <c r="A957" s="24"/>
      <c r="B957" s="9"/>
      <c r="C957" s="20">
        <f>IF($B957="","",IFERROR(INDEX(Parc!$B$2:$B$301,MATCH($B957,Parc!$A$2:$A$301,0)),"Réf. inconnue"))</f>
      </c>
      <c r="D957" s="9"/>
      <c r="E957" s="9"/>
      <c r="F957" s="9"/>
      <c r="G957" s="9"/>
      <c r="H957" s="9"/>
      <c r="I957" s="24"/>
      <c r="J957" s="9"/>
      <c r="K957" s="9"/>
      <c r="L957" s="20">
        <f>IF(AND(ISNUMBER($A957),$B957&lt;&gt;"",$D957&lt;&gt;"Examen partiel (ne relance pas)"),IF($A957&lt;=TODAY(),$A957,0),0)</f>
      </c>
      <c r="M957" s="20">
        <f>IF($L957=0,"",$B957&amp;"|"&amp;$L957)</f>
      </c>
    </row>
    <row r="958" spans="1:13" x14ac:dyDescent="0.25">
      <c r="A958" s="24"/>
      <c r="B958" s="9"/>
      <c r="C958" s="20">
        <f>IF($B958="","",IFERROR(INDEX(Parc!$B$2:$B$301,MATCH($B958,Parc!$A$2:$A$301,0)),"Réf. inconnue"))</f>
      </c>
      <c r="D958" s="9"/>
      <c r="E958" s="9"/>
      <c r="F958" s="9"/>
      <c r="G958" s="9"/>
      <c r="H958" s="9"/>
      <c r="I958" s="24"/>
      <c r="J958" s="9"/>
      <c r="K958" s="9"/>
      <c r="L958" s="20">
        <f>IF(AND(ISNUMBER($A958),$B958&lt;&gt;"",$D958&lt;&gt;"Examen partiel (ne relance pas)"),IF($A958&lt;=TODAY(),$A958,0),0)</f>
      </c>
      <c r="M958" s="20">
        <f>IF($L958=0,"",$B958&amp;"|"&amp;$L958)</f>
      </c>
    </row>
    <row r="959" spans="1:13" x14ac:dyDescent="0.25">
      <c r="A959" s="24"/>
      <c r="B959" s="9"/>
      <c r="C959" s="20">
        <f>IF($B959="","",IFERROR(INDEX(Parc!$B$2:$B$301,MATCH($B959,Parc!$A$2:$A$301,0)),"Réf. inconnue"))</f>
      </c>
      <c r="D959" s="9"/>
      <c r="E959" s="9"/>
      <c r="F959" s="9"/>
      <c r="G959" s="9"/>
      <c r="H959" s="9"/>
      <c r="I959" s="24"/>
      <c r="J959" s="9"/>
      <c r="K959" s="9"/>
      <c r="L959" s="20">
        <f>IF(AND(ISNUMBER($A959),$B959&lt;&gt;"",$D959&lt;&gt;"Examen partiel (ne relance pas)"),IF($A959&lt;=TODAY(),$A959,0),0)</f>
      </c>
      <c r="M959" s="20">
        <f>IF($L959=0,"",$B959&amp;"|"&amp;$L959)</f>
      </c>
    </row>
    <row r="960" spans="1:13" x14ac:dyDescent="0.25">
      <c r="A960" s="24"/>
      <c r="B960" s="9"/>
      <c r="C960" s="20">
        <f>IF($B960="","",IFERROR(INDEX(Parc!$B$2:$B$301,MATCH($B960,Parc!$A$2:$A$301,0)),"Réf. inconnue"))</f>
      </c>
      <c r="D960" s="9"/>
      <c r="E960" s="9"/>
      <c r="F960" s="9"/>
      <c r="G960" s="9"/>
      <c r="H960" s="9"/>
      <c r="I960" s="24"/>
      <c r="J960" s="9"/>
      <c r="K960" s="9"/>
      <c r="L960" s="20">
        <f>IF(AND(ISNUMBER($A960),$B960&lt;&gt;"",$D960&lt;&gt;"Examen partiel (ne relance pas)"),IF($A960&lt;=TODAY(),$A960,0),0)</f>
      </c>
      <c r="M960" s="20">
        <f>IF($L960=0,"",$B960&amp;"|"&amp;$L960)</f>
      </c>
    </row>
    <row r="961" spans="1:13" x14ac:dyDescent="0.25">
      <c r="A961" s="24"/>
      <c r="B961" s="9"/>
      <c r="C961" s="20">
        <f>IF($B961="","",IFERROR(INDEX(Parc!$B$2:$B$301,MATCH($B961,Parc!$A$2:$A$301,0)),"Réf. inconnue"))</f>
      </c>
      <c r="D961" s="9"/>
      <c r="E961" s="9"/>
      <c r="F961" s="9"/>
      <c r="G961" s="9"/>
      <c r="H961" s="9"/>
      <c r="I961" s="24"/>
      <c r="J961" s="9"/>
      <c r="K961" s="9"/>
      <c r="L961" s="20">
        <f>IF(AND(ISNUMBER($A961),$B961&lt;&gt;"",$D961&lt;&gt;"Examen partiel (ne relance pas)"),IF($A961&lt;=TODAY(),$A961,0),0)</f>
      </c>
      <c r="M961" s="20">
        <f>IF($L961=0,"",$B961&amp;"|"&amp;$L961)</f>
      </c>
    </row>
    <row r="962" spans="1:13" x14ac:dyDescent="0.25">
      <c r="A962" s="24"/>
      <c r="B962" s="9"/>
      <c r="C962" s="20">
        <f>IF($B962="","",IFERROR(INDEX(Parc!$B$2:$B$301,MATCH($B962,Parc!$A$2:$A$301,0)),"Réf. inconnue"))</f>
      </c>
      <c r="D962" s="9"/>
      <c r="E962" s="9"/>
      <c r="F962" s="9"/>
      <c r="G962" s="9"/>
      <c r="H962" s="9"/>
      <c r="I962" s="24"/>
      <c r="J962" s="9"/>
      <c r="K962" s="9"/>
      <c r="L962" s="20">
        <f>IF(AND(ISNUMBER($A962),$B962&lt;&gt;"",$D962&lt;&gt;"Examen partiel (ne relance pas)"),IF($A962&lt;=TODAY(),$A962,0),0)</f>
      </c>
      <c r="M962" s="20">
        <f>IF($L962=0,"",$B962&amp;"|"&amp;$L962)</f>
      </c>
    </row>
    <row r="963" spans="1:13" x14ac:dyDescent="0.25">
      <c r="A963" s="24"/>
      <c r="B963" s="9"/>
      <c r="C963" s="20">
        <f>IF($B963="","",IFERROR(INDEX(Parc!$B$2:$B$301,MATCH($B963,Parc!$A$2:$A$301,0)),"Réf. inconnue"))</f>
      </c>
      <c r="D963" s="9"/>
      <c r="E963" s="9"/>
      <c r="F963" s="9"/>
      <c r="G963" s="9"/>
      <c r="H963" s="9"/>
      <c r="I963" s="24"/>
      <c r="J963" s="9"/>
      <c r="K963" s="9"/>
      <c r="L963" s="20">
        <f>IF(AND(ISNUMBER($A963),$B963&lt;&gt;"",$D963&lt;&gt;"Examen partiel (ne relance pas)"),IF($A963&lt;=TODAY(),$A963,0),0)</f>
      </c>
      <c r="M963" s="20">
        <f>IF($L963=0,"",$B963&amp;"|"&amp;$L963)</f>
      </c>
    </row>
    <row r="964" spans="1:13" x14ac:dyDescent="0.25">
      <c r="A964" s="24"/>
      <c r="B964" s="9"/>
      <c r="C964" s="20">
        <f>IF($B964="","",IFERROR(INDEX(Parc!$B$2:$B$301,MATCH($B964,Parc!$A$2:$A$301,0)),"Réf. inconnue"))</f>
      </c>
      <c r="D964" s="9"/>
      <c r="E964" s="9"/>
      <c r="F964" s="9"/>
      <c r="G964" s="9"/>
      <c r="H964" s="9"/>
      <c r="I964" s="24"/>
      <c r="J964" s="9"/>
      <c r="K964" s="9"/>
      <c r="L964" s="20">
        <f>IF(AND(ISNUMBER($A964),$B964&lt;&gt;"",$D964&lt;&gt;"Examen partiel (ne relance pas)"),IF($A964&lt;=TODAY(),$A964,0),0)</f>
      </c>
      <c r="M964" s="20">
        <f>IF($L964=0,"",$B964&amp;"|"&amp;$L964)</f>
      </c>
    </row>
    <row r="965" spans="1:13" x14ac:dyDescent="0.25">
      <c r="A965" s="24"/>
      <c r="B965" s="9"/>
      <c r="C965" s="20">
        <f>IF($B965="","",IFERROR(INDEX(Parc!$B$2:$B$301,MATCH($B965,Parc!$A$2:$A$301,0)),"Réf. inconnue"))</f>
      </c>
      <c r="D965" s="9"/>
      <c r="E965" s="9"/>
      <c r="F965" s="9"/>
      <c r="G965" s="9"/>
      <c r="H965" s="9"/>
      <c r="I965" s="24"/>
      <c r="J965" s="9"/>
      <c r="K965" s="9"/>
      <c r="L965" s="20">
        <f>IF(AND(ISNUMBER($A965),$B965&lt;&gt;"",$D965&lt;&gt;"Examen partiel (ne relance pas)"),IF($A965&lt;=TODAY(),$A965,0),0)</f>
      </c>
      <c r="M965" s="20">
        <f>IF($L965=0,"",$B965&amp;"|"&amp;$L965)</f>
      </c>
    </row>
    <row r="966" spans="1:13" x14ac:dyDescent="0.25">
      <c r="A966" s="24"/>
      <c r="B966" s="9"/>
      <c r="C966" s="20">
        <f>IF($B966="","",IFERROR(INDEX(Parc!$B$2:$B$301,MATCH($B966,Parc!$A$2:$A$301,0)),"Réf. inconnue"))</f>
      </c>
      <c r="D966" s="9"/>
      <c r="E966" s="9"/>
      <c r="F966" s="9"/>
      <c r="G966" s="9"/>
      <c r="H966" s="9"/>
      <c r="I966" s="24"/>
      <c r="J966" s="9"/>
      <c r="K966" s="9"/>
      <c r="L966" s="20">
        <f>IF(AND(ISNUMBER($A966),$B966&lt;&gt;"",$D966&lt;&gt;"Examen partiel (ne relance pas)"),IF($A966&lt;=TODAY(),$A966,0),0)</f>
      </c>
      <c r="M966" s="20">
        <f>IF($L966=0,"",$B966&amp;"|"&amp;$L966)</f>
      </c>
    </row>
    <row r="967" spans="1:13" x14ac:dyDescent="0.25">
      <c r="A967" s="24"/>
      <c r="B967" s="9"/>
      <c r="C967" s="20">
        <f>IF($B967="","",IFERROR(INDEX(Parc!$B$2:$B$301,MATCH($B967,Parc!$A$2:$A$301,0)),"Réf. inconnue"))</f>
      </c>
      <c r="D967" s="9"/>
      <c r="E967" s="9"/>
      <c r="F967" s="9"/>
      <c r="G967" s="9"/>
      <c r="H967" s="9"/>
      <c r="I967" s="24"/>
      <c r="J967" s="9"/>
      <c r="K967" s="9"/>
      <c r="L967" s="20">
        <f>IF(AND(ISNUMBER($A967),$B967&lt;&gt;"",$D967&lt;&gt;"Examen partiel (ne relance pas)"),IF($A967&lt;=TODAY(),$A967,0),0)</f>
      </c>
      <c r="M967" s="20">
        <f>IF($L967=0,"",$B967&amp;"|"&amp;$L967)</f>
      </c>
    </row>
    <row r="968" spans="1:13" x14ac:dyDescent="0.25">
      <c r="A968" s="24"/>
      <c r="B968" s="9"/>
      <c r="C968" s="20">
        <f>IF($B968="","",IFERROR(INDEX(Parc!$B$2:$B$301,MATCH($B968,Parc!$A$2:$A$301,0)),"Réf. inconnue"))</f>
      </c>
      <c r="D968" s="9"/>
      <c r="E968" s="9"/>
      <c r="F968" s="9"/>
      <c r="G968" s="9"/>
      <c r="H968" s="9"/>
      <c r="I968" s="24"/>
      <c r="J968" s="9"/>
      <c r="K968" s="9"/>
      <c r="L968" s="20">
        <f>IF(AND(ISNUMBER($A968),$B968&lt;&gt;"",$D968&lt;&gt;"Examen partiel (ne relance pas)"),IF($A968&lt;=TODAY(),$A968,0),0)</f>
      </c>
      <c r="M968" s="20">
        <f>IF($L968=0,"",$B968&amp;"|"&amp;$L968)</f>
      </c>
    </row>
    <row r="969" spans="1:13" x14ac:dyDescent="0.25">
      <c r="A969" s="24"/>
      <c r="B969" s="9"/>
      <c r="C969" s="20">
        <f>IF($B969="","",IFERROR(INDEX(Parc!$B$2:$B$301,MATCH($B969,Parc!$A$2:$A$301,0)),"Réf. inconnue"))</f>
      </c>
      <c r="D969" s="9"/>
      <c r="E969" s="9"/>
      <c r="F969" s="9"/>
      <c r="G969" s="9"/>
      <c r="H969" s="9"/>
      <c r="I969" s="24"/>
      <c r="J969" s="9"/>
      <c r="K969" s="9"/>
      <c r="L969" s="20">
        <f>IF(AND(ISNUMBER($A969),$B969&lt;&gt;"",$D969&lt;&gt;"Examen partiel (ne relance pas)"),IF($A969&lt;=TODAY(),$A969,0),0)</f>
      </c>
      <c r="M969" s="20">
        <f>IF($L969=0,"",$B969&amp;"|"&amp;$L969)</f>
      </c>
    </row>
    <row r="970" spans="1:13" x14ac:dyDescent="0.25">
      <c r="A970" s="24"/>
      <c r="B970" s="9"/>
      <c r="C970" s="20">
        <f>IF($B970="","",IFERROR(INDEX(Parc!$B$2:$B$301,MATCH($B970,Parc!$A$2:$A$301,0)),"Réf. inconnue"))</f>
      </c>
      <c r="D970" s="9"/>
      <c r="E970" s="9"/>
      <c r="F970" s="9"/>
      <c r="G970" s="9"/>
      <c r="H970" s="9"/>
      <c r="I970" s="24"/>
      <c r="J970" s="9"/>
      <c r="K970" s="9"/>
      <c r="L970" s="20">
        <f>IF(AND(ISNUMBER($A970),$B970&lt;&gt;"",$D970&lt;&gt;"Examen partiel (ne relance pas)"),IF($A970&lt;=TODAY(),$A970,0),0)</f>
      </c>
      <c r="M970" s="20">
        <f>IF($L970=0,"",$B970&amp;"|"&amp;$L970)</f>
      </c>
    </row>
    <row r="971" spans="1:13" x14ac:dyDescent="0.25">
      <c r="A971" s="24"/>
      <c r="B971" s="9"/>
      <c r="C971" s="20">
        <f>IF($B971="","",IFERROR(INDEX(Parc!$B$2:$B$301,MATCH($B971,Parc!$A$2:$A$301,0)),"Réf. inconnue"))</f>
      </c>
      <c r="D971" s="9"/>
      <c r="E971" s="9"/>
      <c r="F971" s="9"/>
      <c r="G971" s="9"/>
      <c r="H971" s="9"/>
      <c r="I971" s="24"/>
      <c r="J971" s="9"/>
      <c r="K971" s="9"/>
      <c r="L971" s="20">
        <f>IF(AND(ISNUMBER($A971),$B971&lt;&gt;"",$D971&lt;&gt;"Examen partiel (ne relance pas)"),IF($A971&lt;=TODAY(),$A971,0),0)</f>
      </c>
      <c r="M971" s="20">
        <f>IF($L971=0,"",$B971&amp;"|"&amp;$L971)</f>
      </c>
    </row>
    <row r="972" spans="1:13" x14ac:dyDescent="0.25">
      <c r="A972" s="24"/>
      <c r="B972" s="9"/>
      <c r="C972" s="20">
        <f>IF($B972="","",IFERROR(INDEX(Parc!$B$2:$B$301,MATCH($B972,Parc!$A$2:$A$301,0)),"Réf. inconnue"))</f>
      </c>
      <c r="D972" s="9"/>
      <c r="E972" s="9"/>
      <c r="F972" s="9"/>
      <c r="G972" s="9"/>
      <c r="H972" s="9"/>
      <c r="I972" s="24"/>
      <c r="J972" s="9"/>
      <c r="K972" s="9"/>
      <c r="L972" s="20">
        <f>IF(AND(ISNUMBER($A972),$B972&lt;&gt;"",$D972&lt;&gt;"Examen partiel (ne relance pas)"),IF($A972&lt;=TODAY(),$A972,0),0)</f>
      </c>
      <c r="M972" s="20">
        <f>IF($L972=0,"",$B972&amp;"|"&amp;$L972)</f>
      </c>
    </row>
    <row r="973" spans="1:13" x14ac:dyDescent="0.25">
      <c r="A973" s="24"/>
      <c r="B973" s="9"/>
      <c r="C973" s="20">
        <f>IF($B973="","",IFERROR(INDEX(Parc!$B$2:$B$301,MATCH($B973,Parc!$A$2:$A$301,0)),"Réf. inconnue"))</f>
      </c>
      <c r="D973" s="9"/>
      <c r="E973" s="9"/>
      <c r="F973" s="9"/>
      <c r="G973" s="9"/>
      <c r="H973" s="9"/>
      <c r="I973" s="24"/>
      <c r="J973" s="9"/>
      <c r="K973" s="9"/>
      <c r="L973" s="20">
        <f>IF(AND(ISNUMBER($A973),$B973&lt;&gt;"",$D973&lt;&gt;"Examen partiel (ne relance pas)"),IF($A973&lt;=TODAY(),$A973,0),0)</f>
      </c>
      <c r="M973" s="20">
        <f>IF($L973=0,"",$B973&amp;"|"&amp;$L973)</f>
      </c>
    </row>
    <row r="974" spans="1:13" x14ac:dyDescent="0.25">
      <c r="A974" s="24"/>
      <c r="B974" s="9"/>
      <c r="C974" s="20">
        <f>IF($B974="","",IFERROR(INDEX(Parc!$B$2:$B$301,MATCH($B974,Parc!$A$2:$A$301,0)),"Réf. inconnue"))</f>
      </c>
      <c r="D974" s="9"/>
      <c r="E974" s="9"/>
      <c r="F974" s="9"/>
      <c r="G974" s="9"/>
      <c r="H974" s="9"/>
      <c r="I974" s="24"/>
      <c r="J974" s="9"/>
      <c r="K974" s="9"/>
      <c r="L974" s="20">
        <f>IF(AND(ISNUMBER($A974),$B974&lt;&gt;"",$D974&lt;&gt;"Examen partiel (ne relance pas)"),IF($A974&lt;=TODAY(),$A974,0),0)</f>
      </c>
      <c r="M974" s="20">
        <f>IF($L974=0,"",$B974&amp;"|"&amp;$L974)</f>
      </c>
    </row>
    <row r="975" spans="1:13" x14ac:dyDescent="0.25">
      <c r="A975" s="24"/>
      <c r="B975" s="9"/>
      <c r="C975" s="20">
        <f>IF($B975="","",IFERROR(INDEX(Parc!$B$2:$B$301,MATCH($B975,Parc!$A$2:$A$301,0)),"Réf. inconnue"))</f>
      </c>
      <c r="D975" s="9"/>
      <c r="E975" s="9"/>
      <c r="F975" s="9"/>
      <c r="G975" s="9"/>
      <c r="H975" s="9"/>
      <c r="I975" s="24"/>
      <c r="J975" s="9"/>
      <c r="K975" s="9"/>
      <c r="L975" s="20">
        <f>IF(AND(ISNUMBER($A975),$B975&lt;&gt;"",$D975&lt;&gt;"Examen partiel (ne relance pas)"),IF($A975&lt;=TODAY(),$A975,0),0)</f>
      </c>
      <c r="M975" s="20">
        <f>IF($L975=0,"",$B975&amp;"|"&amp;$L975)</f>
      </c>
    </row>
    <row r="976" spans="1:13" x14ac:dyDescent="0.25">
      <c r="A976" s="24"/>
      <c r="B976" s="9"/>
      <c r="C976" s="20">
        <f>IF($B976="","",IFERROR(INDEX(Parc!$B$2:$B$301,MATCH($B976,Parc!$A$2:$A$301,0)),"Réf. inconnue"))</f>
      </c>
      <c r="D976" s="9"/>
      <c r="E976" s="9"/>
      <c r="F976" s="9"/>
      <c r="G976" s="9"/>
      <c r="H976" s="9"/>
      <c r="I976" s="24"/>
      <c r="J976" s="9"/>
      <c r="K976" s="9"/>
      <c r="L976" s="20">
        <f>IF(AND(ISNUMBER($A976),$B976&lt;&gt;"",$D976&lt;&gt;"Examen partiel (ne relance pas)"),IF($A976&lt;=TODAY(),$A976,0),0)</f>
      </c>
      <c r="M976" s="20">
        <f>IF($L976=0,"",$B976&amp;"|"&amp;$L976)</f>
      </c>
    </row>
    <row r="977" spans="1:13" x14ac:dyDescent="0.25">
      <c r="A977" s="24"/>
      <c r="B977" s="9"/>
      <c r="C977" s="20">
        <f>IF($B977="","",IFERROR(INDEX(Parc!$B$2:$B$301,MATCH($B977,Parc!$A$2:$A$301,0)),"Réf. inconnue"))</f>
      </c>
      <c r="D977" s="9"/>
      <c r="E977" s="9"/>
      <c r="F977" s="9"/>
      <c r="G977" s="9"/>
      <c r="H977" s="9"/>
      <c r="I977" s="24"/>
      <c r="J977" s="9"/>
      <c r="K977" s="9"/>
      <c r="L977" s="20">
        <f>IF(AND(ISNUMBER($A977),$B977&lt;&gt;"",$D977&lt;&gt;"Examen partiel (ne relance pas)"),IF($A977&lt;=TODAY(),$A977,0),0)</f>
      </c>
      <c r="M977" s="20">
        <f>IF($L977=0,"",$B977&amp;"|"&amp;$L977)</f>
      </c>
    </row>
    <row r="978" spans="1:13" x14ac:dyDescent="0.25">
      <c r="A978" s="24"/>
      <c r="B978" s="9"/>
      <c r="C978" s="20">
        <f>IF($B978="","",IFERROR(INDEX(Parc!$B$2:$B$301,MATCH($B978,Parc!$A$2:$A$301,0)),"Réf. inconnue"))</f>
      </c>
      <c r="D978" s="9"/>
      <c r="E978" s="9"/>
      <c r="F978" s="9"/>
      <c r="G978" s="9"/>
      <c r="H978" s="9"/>
      <c r="I978" s="24"/>
      <c r="J978" s="9"/>
      <c r="K978" s="9"/>
      <c r="L978" s="20">
        <f>IF(AND(ISNUMBER($A978),$B978&lt;&gt;"",$D978&lt;&gt;"Examen partiel (ne relance pas)"),IF($A978&lt;=TODAY(),$A978,0),0)</f>
      </c>
      <c r="M978" s="20">
        <f>IF($L978=0,"",$B978&amp;"|"&amp;$L978)</f>
      </c>
    </row>
    <row r="979" spans="1:13" x14ac:dyDescent="0.25">
      <c r="A979" s="24"/>
      <c r="B979" s="9"/>
      <c r="C979" s="20">
        <f>IF($B979="","",IFERROR(INDEX(Parc!$B$2:$B$301,MATCH($B979,Parc!$A$2:$A$301,0)),"Réf. inconnue"))</f>
      </c>
      <c r="D979" s="9"/>
      <c r="E979" s="9"/>
      <c r="F979" s="9"/>
      <c r="G979" s="9"/>
      <c r="H979" s="9"/>
      <c r="I979" s="24"/>
      <c r="J979" s="9"/>
      <c r="K979" s="9"/>
      <c r="L979" s="20">
        <f>IF(AND(ISNUMBER($A979),$B979&lt;&gt;"",$D979&lt;&gt;"Examen partiel (ne relance pas)"),IF($A979&lt;=TODAY(),$A979,0),0)</f>
      </c>
      <c r="M979" s="20">
        <f>IF($L979=0,"",$B979&amp;"|"&amp;$L979)</f>
      </c>
    </row>
    <row r="980" spans="1:13" x14ac:dyDescent="0.25">
      <c r="A980" s="24"/>
      <c r="B980" s="9"/>
      <c r="C980" s="20">
        <f>IF($B980="","",IFERROR(INDEX(Parc!$B$2:$B$301,MATCH($B980,Parc!$A$2:$A$301,0)),"Réf. inconnue"))</f>
      </c>
      <c r="D980" s="9"/>
      <c r="E980" s="9"/>
      <c r="F980" s="9"/>
      <c r="G980" s="9"/>
      <c r="H980" s="9"/>
      <c r="I980" s="24"/>
      <c r="J980" s="9"/>
      <c r="K980" s="9"/>
      <c r="L980" s="20">
        <f>IF(AND(ISNUMBER($A980),$B980&lt;&gt;"",$D980&lt;&gt;"Examen partiel (ne relance pas)"),IF($A980&lt;=TODAY(),$A980,0),0)</f>
      </c>
      <c r="M980" s="20">
        <f>IF($L980=0,"",$B980&amp;"|"&amp;$L980)</f>
      </c>
    </row>
    <row r="981" spans="1:13" x14ac:dyDescent="0.25">
      <c r="A981" s="24"/>
      <c r="B981" s="9"/>
      <c r="C981" s="20">
        <f>IF($B981="","",IFERROR(INDEX(Parc!$B$2:$B$301,MATCH($B981,Parc!$A$2:$A$301,0)),"Réf. inconnue"))</f>
      </c>
      <c r="D981" s="9"/>
      <c r="E981" s="9"/>
      <c r="F981" s="9"/>
      <c r="G981" s="9"/>
      <c r="H981" s="9"/>
      <c r="I981" s="24"/>
      <c r="J981" s="9"/>
      <c r="K981" s="9"/>
      <c r="L981" s="20">
        <f>IF(AND(ISNUMBER($A981),$B981&lt;&gt;"",$D981&lt;&gt;"Examen partiel (ne relance pas)"),IF($A981&lt;=TODAY(),$A981,0),0)</f>
      </c>
      <c r="M981" s="20">
        <f>IF($L981=0,"",$B981&amp;"|"&amp;$L981)</f>
      </c>
    </row>
    <row r="982" spans="1:13" x14ac:dyDescent="0.25">
      <c r="A982" s="24"/>
      <c r="B982" s="9"/>
      <c r="C982" s="20">
        <f>IF($B982="","",IFERROR(INDEX(Parc!$B$2:$B$301,MATCH($B982,Parc!$A$2:$A$301,0)),"Réf. inconnue"))</f>
      </c>
      <c r="D982" s="9"/>
      <c r="E982" s="9"/>
      <c r="F982" s="9"/>
      <c r="G982" s="9"/>
      <c r="H982" s="9"/>
      <c r="I982" s="24"/>
      <c r="J982" s="9"/>
      <c r="K982" s="9"/>
      <c r="L982" s="20">
        <f>IF(AND(ISNUMBER($A982),$B982&lt;&gt;"",$D982&lt;&gt;"Examen partiel (ne relance pas)"),IF($A982&lt;=TODAY(),$A982,0),0)</f>
      </c>
      <c r="M982" s="20">
        <f>IF($L982=0,"",$B982&amp;"|"&amp;$L982)</f>
      </c>
    </row>
    <row r="983" spans="1:13" x14ac:dyDescent="0.25">
      <c r="A983" s="24"/>
      <c r="B983" s="9"/>
      <c r="C983" s="20">
        <f>IF($B983="","",IFERROR(INDEX(Parc!$B$2:$B$301,MATCH($B983,Parc!$A$2:$A$301,0)),"Réf. inconnue"))</f>
      </c>
      <c r="D983" s="9"/>
      <c r="E983" s="9"/>
      <c r="F983" s="9"/>
      <c r="G983" s="9"/>
      <c r="H983" s="9"/>
      <c r="I983" s="24"/>
      <c r="J983" s="9"/>
      <c r="K983" s="9"/>
      <c r="L983" s="20">
        <f>IF(AND(ISNUMBER($A983),$B983&lt;&gt;"",$D983&lt;&gt;"Examen partiel (ne relance pas)"),IF($A983&lt;=TODAY(),$A983,0),0)</f>
      </c>
      <c r="M983" s="20">
        <f>IF($L983=0,"",$B983&amp;"|"&amp;$L983)</f>
      </c>
    </row>
    <row r="984" spans="1:13" x14ac:dyDescent="0.25">
      <c r="A984" s="24"/>
      <c r="B984" s="9"/>
      <c r="C984" s="20">
        <f>IF($B984="","",IFERROR(INDEX(Parc!$B$2:$B$301,MATCH($B984,Parc!$A$2:$A$301,0)),"Réf. inconnue"))</f>
      </c>
      <c r="D984" s="9"/>
      <c r="E984" s="9"/>
      <c r="F984" s="9"/>
      <c r="G984" s="9"/>
      <c r="H984" s="9"/>
      <c r="I984" s="24"/>
      <c r="J984" s="9"/>
      <c r="K984" s="9"/>
      <c r="L984" s="20">
        <f>IF(AND(ISNUMBER($A984),$B984&lt;&gt;"",$D984&lt;&gt;"Examen partiel (ne relance pas)"),IF($A984&lt;=TODAY(),$A984,0),0)</f>
      </c>
      <c r="M984" s="20">
        <f>IF($L984=0,"",$B984&amp;"|"&amp;$L984)</f>
      </c>
    </row>
    <row r="985" spans="1:13" x14ac:dyDescent="0.25">
      <c r="A985" s="24"/>
      <c r="B985" s="9"/>
      <c r="C985" s="20">
        <f>IF($B985="","",IFERROR(INDEX(Parc!$B$2:$B$301,MATCH($B985,Parc!$A$2:$A$301,0)),"Réf. inconnue"))</f>
      </c>
      <c r="D985" s="9"/>
      <c r="E985" s="9"/>
      <c r="F985" s="9"/>
      <c r="G985" s="9"/>
      <c r="H985" s="9"/>
      <c r="I985" s="24"/>
      <c r="J985" s="9"/>
      <c r="K985" s="9"/>
      <c r="L985" s="20">
        <f>IF(AND(ISNUMBER($A985),$B985&lt;&gt;"",$D985&lt;&gt;"Examen partiel (ne relance pas)"),IF($A985&lt;=TODAY(),$A985,0),0)</f>
      </c>
      <c r="M985" s="20">
        <f>IF($L985=0,"",$B985&amp;"|"&amp;$L985)</f>
      </c>
    </row>
    <row r="986" spans="1:13" x14ac:dyDescent="0.25">
      <c r="A986" s="24"/>
      <c r="B986" s="9"/>
      <c r="C986" s="20">
        <f>IF($B986="","",IFERROR(INDEX(Parc!$B$2:$B$301,MATCH($B986,Parc!$A$2:$A$301,0)),"Réf. inconnue"))</f>
      </c>
      <c r="D986" s="9"/>
      <c r="E986" s="9"/>
      <c r="F986" s="9"/>
      <c r="G986" s="9"/>
      <c r="H986" s="9"/>
      <c r="I986" s="24"/>
      <c r="J986" s="9"/>
      <c r="K986" s="9"/>
      <c r="L986" s="20">
        <f>IF(AND(ISNUMBER($A986),$B986&lt;&gt;"",$D986&lt;&gt;"Examen partiel (ne relance pas)"),IF($A986&lt;=TODAY(),$A986,0),0)</f>
      </c>
      <c r="M986" s="20">
        <f>IF($L986=0,"",$B986&amp;"|"&amp;$L986)</f>
      </c>
    </row>
    <row r="987" spans="1:13" x14ac:dyDescent="0.25">
      <c r="A987" s="24"/>
      <c r="B987" s="9"/>
      <c r="C987" s="20">
        <f>IF($B987="","",IFERROR(INDEX(Parc!$B$2:$B$301,MATCH($B987,Parc!$A$2:$A$301,0)),"Réf. inconnue"))</f>
      </c>
      <c r="D987" s="9"/>
      <c r="E987" s="9"/>
      <c r="F987" s="9"/>
      <c r="G987" s="9"/>
      <c r="H987" s="9"/>
      <c r="I987" s="24"/>
      <c r="J987" s="9"/>
      <c r="K987" s="9"/>
      <c r="L987" s="20">
        <f>IF(AND(ISNUMBER($A987),$B987&lt;&gt;"",$D987&lt;&gt;"Examen partiel (ne relance pas)"),IF($A987&lt;=TODAY(),$A987,0),0)</f>
      </c>
      <c r="M987" s="20">
        <f>IF($L987=0,"",$B987&amp;"|"&amp;$L987)</f>
      </c>
    </row>
    <row r="988" spans="1:13" x14ac:dyDescent="0.25">
      <c r="A988" s="24"/>
      <c r="B988" s="9"/>
      <c r="C988" s="20">
        <f>IF($B988="","",IFERROR(INDEX(Parc!$B$2:$B$301,MATCH($B988,Parc!$A$2:$A$301,0)),"Réf. inconnue"))</f>
      </c>
      <c r="D988" s="9"/>
      <c r="E988" s="9"/>
      <c r="F988" s="9"/>
      <c r="G988" s="9"/>
      <c r="H988" s="9"/>
      <c r="I988" s="24"/>
      <c r="J988" s="9"/>
      <c r="K988" s="9"/>
      <c r="L988" s="20">
        <f>IF(AND(ISNUMBER($A988),$B988&lt;&gt;"",$D988&lt;&gt;"Examen partiel (ne relance pas)"),IF($A988&lt;=TODAY(),$A988,0),0)</f>
      </c>
      <c r="M988" s="20">
        <f>IF($L988=0,"",$B988&amp;"|"&amp;$L988)</f>
      </c>
    </row>
    <row r="989" spans="1:13" x14ac:dyDescent="0.25">
      <c r="A989" s="24"/>
      <c r="B989" s="9"/>
      <c r="C989" s="20">
        <f>IF($B989="","",IFERROR(INDEX(Parc!$B$2:$B$301,MATCH($B989,Parc!$A$2:$A$301,0)),"Réf. inconnue"))</f>
      </c>
      <c r="D989" s="9"/>
      <c r="E989" s="9"/>
      <c r="F989" s="9"/>
      <c r="G989" s="9"/>
      <c r="H989" s="9"/>
      <c r="I989" s="24"/>
      <c r="J989" s="9"/>
      <c r="K989" s="9"/>
      <c r="L989" s="20">
        <f>IF(AND(ISNUMBER($A989),$B989&lt;&gt;"",$D989&lt;&gt;"Examen partiel (ne relance pas)"),IF($A989&lt;=TODAY(),$A989,0),0)</f>
      </c>
      <c r="M989" s="20">
        <f>IF($L989=0,"",$B989&amp;"|"&amp;$L989)</f>
      </c>
    </row>
    <row r="990" spans="1:13" x14ac:dyDescent="0.25">
      <c r="A990" s="24"/>
      <c r="B990" s="9"/>
      <c r="C990" s="20">
        <f>IF($B990="","",IFERROR(INDEX(Parc!$B$2:$B$301,MATCH($B990,Parc!$A$2:$A$301,0)),"Réf. inconnue"))</f>
      </c>
      <c r="D990" s="9"/>
      <c r="E990" s="9"/>
      <c r="F990" s="9"/>
      <c r="G990" s="9"/>
      <c r="H990" s="9"/>
      <c r="I990" s="24"/>
      <c r="J990" s="9"/>
      <c r="K990" s="9"/>
      <c r="L990" s="20">
        <f>IF(AND(ISNUMBER($A990),$B990&lt;&gt;"",$D990&lt;&gt;"Examen partiel (ne relance pas)"),IF($A990&lt;=TODAY(),$A990,0),0)</f>
      </c>
      <c r="M990" s="20">
        <f>IF($L990=0,"",$B990&amp;"|"&amp;$L990)</f>
      </c>
    </row>
    <row r="991" spans="1:13" x14ac:dyDescent="0.25">
      <c r="A991" s="24"/>
      <c r="B991" s="9"/>
      <c r="C991" s="20">
        <f>IF($B991="","",IFERROR(INDEX(Parc!$B$2:$B$301,MATCH($B991,Parc!$A$2:$A$301,0)),"Réf. inconnue"))</f>
      </c>
      <c r="D991" s="9"/>
      <c r="E991" s="9"/>
      <c r="F991" s="9"/>
      <c r="G991" s="9"/>
      <c r="H991" s="9"/>
      <c r="I991" s="24"/>
      <c r="J991" s="9"/>
      <c r="K991" s="9"/>
      <c r="L991" s="20">
        <f>IF(AND(ISNUMBER($A991),$B991&lt;&gt;"",$D991&lt;&gt;"Examen partiel (ne relance pas)"),IF($A991&lt;=TODAY(),$A991,0),0)</f>
      </c>
      <c r="M991" s="20">
        <f>IF($L991=0,"",$B991&amp;"|"&amp;$L991)</f>
      </c>
    </row>
    <row r="992" spans="1:13" x14ac:dyDescent="0.25">
      <c r="A992" s="24"/>
      <c r="B992" s="9"/>
      <c r="C992" s="20">
        <f>IF($B992="","",IFERROR(INDEX(Parc!$B$2:$B$301,MATCH($B992,Parc!$A$2:$A$301,0)),"Réf. inconnue"))</f>
      </c>
      <c r="D992" s="9"/>
      <c r="E992" s="9"/>
      <c r="F992" s="9"/>
      <c r="G992" s="9"/>
      <c r="H992" s="9"/>
      <c r="I992" s="24"/>
      <c r="J992" s="9"/>
      <c r="K992" s="9"/>
      <c r="L992" s="20">
        <f>IF(AND(ISNUMBER($A992),$B992&lt;&gt;"",$D992&lt;&gt;"Examen partiel (ne relance pas)"),IF($A992&lt;=TODAY(),$A992,0),0)</f>
      </c>
      <c r="M992" s="20">
        <f>IF($L992=0,"",$B992&amp;"|"&amp;$L992)</f>
      </c>
    </row>
    <row r="993" spans="1:13" x14ac:dyDescent="0.25">
      <c r="A993" s="24"/>
      <c r="B993" s="9"/>
      <c r="C993" s="20">
        <f>IF($B993="","",IFERROR(INDEX(Parc!$B$2:$B$301,MATCH($B993,Parc!$A$2:$A$301,0)),"Réf. inconnue"))</f>
      </c>
      <c r="D993" s="9"/>
      <c r="E993" s="9"/>
      <c r="F993" s="9"/>
      <c r="G993" s="9"/>
      <c r="H993" s="9"/>
      <c r="I993" s="24"/>
      <c r="J993" s="9"/>
      <c r="K993" s="9"/>
      <c r="L993" s="20">
        <f>IF(AND(ISNUMBER($A993),$B993&lt;&gt;"",$D993&lt;&gt;"Examen partiel (ne relance pas)"),IF($A993&lt;=TODAY(),$A993,0),0)</f>
      </c>
      <c r="M993" s="20">
        <f>IF($L993=0,"",$B993&amp;"|"&amp;$L993)</f>
      </c>
    </row>
    <row r="994" spans="1:13" x14ac:dyDescent="0.25">
      <c r="A994" s="24"/>
      <c r="B994" s="9"/>
      <c r="C994" s="20">
        <f>IF($B994="","",IFERROR(INDEX(Parc!$B$2:$B$301,MATCH($B994,Parc!$A$2:$A$301,0)),"Réf. inconnue"))</f>
      </c>
      <c r="D994" s="9"/>
      <c r="E994" s="9"/>
      <c r="F994" s="9"/>
      <c r="G994" s="9"/>
      <c r="H994" s="9"/>
      <c r="I994" s="24"/>
      <c r="J994" s="9"/>
      <c r="K994" s="9"/>
      <c r="L994" s="20">
        <f>IF(AND(ISNUMBER($A994),$B994&lt;&gt;"",$D994&lt;&gt;"Examen partiel (ne relance pas)"),IF($A994&lt;=TODAY(),$A994,0),0)</f>
      </c>
      <c r="M994" s="20">
        <f>IF($L994=0,"",$B994&amp;"|"&amp;$L994)</f>
      </c>
    </row>
    <row r="995" spans="1:13" x14ac:dyDescent="0.25">
      <c r="A995" s="24"/>
      <c r="B995" s="9"/>
      <c r="C995" s="20">
        <f>IF($B995="","",IFERROR(INDEX(Parc!$B$2:$B$301,MATCH($B995,Parc!$A$2:$A$301,0)),"Réf. inconnue"))</f>
      </c>
      <c r="D995" s="9"/>
      <c r="E995" s="9"/>
      <c r="F995" s="9"/>
      <c r="G995" s="9"/>
      <c r="H995" s="9"/>
      <c r="I995" s="24"/>
      <c r="J995" s="9"/>
      <c r="K995" s="9"/>
      <c r="L995" s="20">
        <f>IF(AND(ISNUMBER($A995),$B995&lt;&gt;"",$D995&lt;&gt;"Examen partiel (ne relance pas)"),IF($A995&lt;=TODAY(),$A995,0),0)</f>
      </c>
      <c r="M995" s="20">
        <f>IF($L995=0,"",$B995&amp;"|"&amp;$L995)</f>
      </c>
    </row>
    <row r="996" spans="1:13" x14ac:dyDescent="0.25">
      <c r="A996" s="24"/>
      <c r="B996" s="9"/>
      <c r="C996" s="20">
        <f>IF($B996="","",IFERROR(INDEX(Parc!$B$2:$B$301,MATCH($B996,Parc!$A$2:$A$301,0)),"Réf. inconnue"))</f>
      </c>
      <c r="D996" s="9"/>
      <c r="E996" s="9"/>
      <c r="F996" s="9"/>
      <c r="G996" s="9"/>
      <c r="H996" s="9"/>
      <c r="I996" s="24"/>
      <c r="J996" s="9"/>
      <c r="K996" s="9"/>
      <c r="L996" s="20">
        <f>IF(AND(ISNUMBER($A996),$B996&lt;&gt;"",$D996&lt;&gt;"Examen partiel (ne relance pas)"),IF($A996&lt;=TODAY(),$A996,0),0)</f>
      </c>
      <c r="M996" s="20">
        <f>IF($L996=0,"",$B996&amp;"|"&amp;$L996)</f>
      </c>
    </row>
    <row r="997" spans="1:13" x14ac:dyDescent="0.25">
      <c r="A997" s="24"/>
      <c r="B997" s="9"/>
      <c r="C997" s="20">
        <f>IF($B997="","",IFERROR(INDEX(Parc!$B$2:$B$301,MATCH($B997,Parc!$A$2:$A$301,0)),"Réf. inconnue"))</f>
      </c>
      <c r="D997" s="9"/>
      <c r="E997" s="9"/>
      <c r="F997" s="9"/>
      <c r="G997" s="9"/>
      <c r="H997" s="9"/>
      <c r="I997" s="24"/>
      <c r="J997" s="9"/>
      <c r="K997" s="9"/>
      <c r="L997" s="20">
        <f>IF(AND(ISNUMBER($A997),$B997&lt;&gt;"",$D997&lt;&gt;"Examen partiel (ne relance pas)"),IF($A997&lt;=TODAY(),$A997,0),0)</f>
      </c>
      <c r="M997" s="20">
        <f>IF($L997=0,"",$B997&amp;"|"&amp;$L997)</f>
      </c>
    </row>
    <row r="998" spans="1:13" x14ac:dyDescent="0.25">
      <c r="A998" s="24"/>
      <c r="B998" s="9"/>
      <c r="C998" s="20">
        <f>IF($B998="","",IFERROR(INDEX(Parc!$B$2:$B$301,MATCH($B998,Parc!$A$2:$A$301,0)),"Réf. inconnue"))</f>
      </c>
      <c r="D998" s="9"/>
      <c r="E998" s="9"/>
      <c r="F998" s="9"/>
      <c r="G998" s="9"/>
      <c r="H998" s="9"/>
      <c r="I998" s="24"/>
      <c r="J998" s="9"/>
      <c r="K998" s="9"/>
      <c r="L998" s="20">
        <f>IF(AND(ISNUMBER($A998),$B998&lt;&gt;"",$D998&lt;&gt;"Examen partiel (ne relance pas)"),IF($A998&lt;=TODAY(),$A998,0),0)</f>
      </c>
      <c r="M998" s="20">
        <f>IF($L998=0,"",$B998&amp;"|"&amp;$L998)</f>
      </c>
    </row>
    <row r="999" spans="1:13" x14ac:dyDescent="0.25">
      <c r="A999" s="24"/>
      <c r="B999" s="9"/>
      <c r="C999" s="20">
        <f>IF($B999="","",IFERROR(INDEX(Parc!$B$2:$B$301,MATCH($B999,Parc!$A$2:$A$301,0)),"Réf. inconnue"))</f>
      </c>
      <c r="D999" s="9"/>
      <c r="E999" s="9"/>
      <c r="F999" s="9"/>
      <c r="G999" s="9"/>
      <c r="H999" s="9"/>
      <c r="I999" s="24"/>
      <c r="J999" s="9"/>
      <c r="K999" s="9"/>
      <c r="L999" s="20">
        <f>IF(AND(ISNUMBER($A999),$B999&lt;&gt;"",$D999&lt;&gt;"Examen partiel (ne relance pas)"),IF($A999&lt;=TODAY(),$A999,0),0)</f>
      </c>
      <c r="M999" s="20">
        <f>IF($L999=0,"",$B999&amp;"|"&amp;$L999)</f>
      </c>
    </row>
    <row r="1000" spans="1:13" x14ac:dyDescent="0.25">
      <c r="A1000" s="24"/>
      <c r="B1000" s="9"/>
      <c r="C1000" s="20">
        <f>IF($B1000="","",IFERROR(INDEX(Parc!$B$2:$B$301,MATCH($B1000,Parc!$A$2:$A$301,0)),"Réf. inconnue"))</f>
      </c>
      <c r="D1000" s="9"/>
      <c r="E1000" s="9"/>
      <c r="F1000" s="9"/>
      <c r="G1000" s="9"/>
      <c r="H1000" s="9"/>
      <c r="I1000" s="24"/>
      <c r="J1000" s="9"/>
      <c r="K1000" s="9"/>
      <c r="L1000" s="20">
        <f>IF(AND(ISNUMBER($A1000),$B1000&lt;&gt;"",$D1000&lt;&gt;"Examen partiel (ne relance pas)"),IF($A1000&lt;=TODAY(),$A1000,0),0)</f>
      </c>
      <c r="M1000" s="20">
        <f>IF($L1000=0,"",$B1000&amp;"|"&amp;$L1000)</f>
      </c>
    </row>
    <row r="1001" spans="1:13" x14ac:dyDescent="0.25">
      <c r="A1001" s="24"/>
      <c r="B1001" s="9"/>
      <c r="C1001" s="20">
        <f>IF($B1001="","",IFERROR(INDEX(Parc!$B$2:$B$301,MATCH($B1001,Parc!$A$2:$A$301,0)),"Réf. inconnue"))</f>
      </c>
      <c r="D1001" s="9"/>
      <c r="E1001" s="9"/>
      <c r="F1001" s="9"/>
      <c r="G1001" s="9"/>
      <c r="H1001" s="9"/>
      <c r="I1001" s="24"/>
      <c r="J1001" s="9"/>
      <c r="K1001" s="9"/>
      <c r="L1001" s="20">
        <f>IF(AND(ISNUMBER($A1001),$B1001&lt;&gt;"",$D1001&lt;&gt;"Examen partiel (ne relance pas)"),IF($A1001&lt;=TODAY(),$A1001,0),0)</f>
      </c>
      <c r="M1001" s="20">
        <f>IF($L1001=0,"",$B1001&amp;"|"&amp;$L1001)</f>
      </c>
    </row>
  </sheetData>
  <sheetProtection sheet="1" formatColumns="0" formatRows="0" autoFilter="0"/>
  <autoFilter ref="A1:M1"/>
  <conditionalFormatting sqref="C2:C1001">
    <cfRule type="expression" dxfId="33" priority="1">
      <formula>$C2="Réf. inconnue"</formula>
    </cfRule>
  </conditionalFormatting>
  <conditionalFormatting sqref="A2:A1001">
    <cfRule type="expression" dxfId="34" priority="1">
      <formula>OR(ISTEXT($A2),AND(ISNUMBER($A2),$A2&gt;TODAY()))</formula>
    </cfRule>
  </conditionalFormatting>
  <conditionalFormatting sqref="E2:E1001">
    <cfRule type="expression" dxfId="35" priority="1">
      <formula>$E2="Mise à l'arrêt"</formula>
    </cfRule>
  </conditionalFormatting>
  <dataValidations count="5">
    <dataValidation type="custom" allowBlank="1" showErrorMessage="1" errorStyle="stop" errorTitle="Date attendue" error="Saisissez une date passée ou du jour, au format jj/mm/aaaa. Une date tapée comme du texte ne se calcule pas." sqref="A2:A1001">
      <formula1>AND(ISNUMBER(A2),A2&lt;=TODAY())</formula1>
    </dataValidation>
    <dataValidation type="list" allowBlank="1" showErrorMessage="1" errorStyle="stop" errorTitle="Référence inconnue" error="Choisissez la référence d'un équipement de l'onglet Parc." sqref="B2:B1001">
      <formula1>Parc!$A$2:$A$301</formula1>
    </dataValidation>
    <dataValidation type="list" allowBlank="1" sqref="D2:D1001">
      <formula1>"Vérification périodique,Vérification initiale ou de mise en service,Remise en service complète,Examen partiel (ne relance pas)"</formula1>
    </dataValidation>
    <dataValidation type="list" allowBlank="1" sqref="E2:E1001">
      <formula1>"Sans observation,Avec observations,Mise à l'arrêt"</formula1>
    </dataValidation>
    <dataValidation type="custom" allowBlank="1" showErrorMessage="1" errorStyle="stop" errorTitle="Date attendue" error="Saisissez une date passée ou du jour, au format jj/mm/aaaa. Une date tapée comme du texte ne se calcule pas." sqref="I2:I1001">
      <formula1>AND(ISNUMBER(I2),I2&lt;=TODAY())</formula1>
    </dataValidation>
  </dataValidations>
  <pageSetup paperSize="9" orientation="landscape"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5309"/>
    <pageSetUpPr fitToPage="1"/>
  </sheetPr>
  <dimension ref="A1:K3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6" customWidth="1"/>
    <col min="4" max="4" width="44" customWidth="1"/>
    <col min="5" max="5" width="16" customWidth="1"/>
    <col min="6" max="6" width="34" customWidth="1"/>
    <col min="7" max="7" width="18" customWidth="1"/>
    <col min="8" max="9" width="13" customWidth="1"/>
    <col min="10" max="11" width="12" customWidth="1"/>
  </cols>
  <sheetData>
    <row r="1" ht="58" customHeight="1" spans="1:11" x14ac:dyDescent="0.25">
      <c r="A1" s="8" t="s">
        <v>166</v>
      </c>
      <c r="B1" s="8" t="s">
        <v>127</v>
      </c>
      <c r="C1" s="8" t="s">
        <v>32</v>
      </c>
      <c r="D1" s="8" t="s">
        <v>167</v>
      </c>
      <c r="E1" s="8" t="s">
        <v>168</v>
      </c>
      <c r="F1" s="8" t="s">
        <v>169</v>
      </c>
      <c r="G1" s="8" t="s">
        <v>170</v>
      </c>
      <c r="H1" s="8" t="s">
        <v>171</v>
      </c>
      <c r="I1" s="8" t="s">
        <v>172</v>
      </c>
      <c r="J1" s="8" t="s">
        <v>34</v>
      </c>
      <c r="K1" s="8" t="s">
        <v>173</v>
      </c>
    </row>
    <row r="2" spans="1:11" x14ac:dyDescent="0.25">
      <c r="A2" s="24">
        <v>46254</v>
      </c>
      <c r="B2" s="9" t="s">
        <v>98</v>
      </c>
      <c r="C2" s="20">
        <f>IF($B2="","",IFERROR(INDEX(Parc!$B$2:$B$301,MATCH($B2,Parc!$A$2:$A$301,0)),"Réf. inconnue"))</f>
      </c>
      <c r="D2" s="9" t="s">
        <v>174</v>
      </c>
      <c r="E2" s="23" t="s">
        <v>145</v>
      </c>
      <c r="F2" s="9" t="s">
        <v>175</v>
      </c>
      <c r="G2" s="9" t="s">
        <v>176</v>
      </c>
      <c r="H2" s="24">
        <v>46270</v>
      </c>
      <c r="I2" s="24"/>
      <c r="J2" s="22">
        <f>IF($D2="","",IF(AND(ISNUMBER($I2),$I2&lt;=TODAY()),"Levée",IF(AND(ISNUMBER($H2),$H2&lt;TODAY()),"En retard","Ouverte")))</f>
      </c>
      <c r="K2" s="21">
        <f>IF(OR(NOT(ISNUMBER($A2)),$D2=""),"",IF($J2="Levée",$I2-$A2,TODAY()-$A2))</f>
      </c>
    </row>
    <row r="3" spans="1:11" x14ac:dyDescent="0.25">
      <c r="A3" s="24">
        <v>46103</v>
      </c>
      <c r="B3" s="9" t="s">
        <v>107</v>
      </c>
      <c r="C3" s="20">
        <f>IF($B3="","",IFERROR(INDEX(Parc!$B$2:$B$301,MATCH($B3,Parc!$A$2:$A$301,0)),"Réf. inconnue"))</f>
      </c>
      <c r="D3" s="9" t="s">
        <v>177</v>
      </c>
      <c r="E3" s="23" t="s">
        <v>178</v>
      </c>
      <c r="F3" s="9" t="s">
        <v>179</v>
      </c>
      <c r="G3" s="9" t="s">
        <v>180</v>
      </c>
      <c r="H3" s="24">
        <v>46142</v>
      </c>
      <c r="I3" s="24">
        <v>46130</v>
      </c>
      <c r="J3" s="22">
        <f>IF($D3="","",IF(AND(ISNUMBER($I3),$I3&lt;=TODAY()),"Levée",IF(AND(ISNUMBER($H3),$H3&lt;TODAY()),"En retard","Ouverte")))</f>
      </c>
      <c r="K3" s="21">
        <f>IF(OR(NOT(ISNUMBER($A3)),$D3=""),"",IF($J3="Levée",$I3-$A3,TODAY()-$A3))</f>
      </c>
    </row>
    <row r="4" spans="1:11" x14ac:dyDescent="0.25">
      <c r="A4" s="24">
        <v>46122</v>
      </c>
      <c r="B4" s="9" t="s">
        <v>92</v>
      </c>
      <c r="C4" s="20">
        <f>IF($B4="","",IFERROR(INDEX(Parc!$B$2:$B$301,MATCH($B4,Parc!$A$2:$A$301,0)),"Réf. inconnue"))</f>
      </c>
      <c r="D4" s="9" t="s">
        <v>181</v>
      </c>
      <c r="E4" s="23" t="s">
        <v>182</v>
      </c>
      <c r="F4" s="9" t="s">
        <v>183</v>
      </c>
      <c r="G4" s="9" t="s">
        <v>180</v>
      </c>
      <c r="H4" s="24">
        <v>46326</v>
      </c>
      <c r="I4" s="24"/>
      <c r="J4" s="22">
        <f>IF($D4="","",IF(AND(ISNUMBER($I4),$I4&lt;=TODAY()),"Levée",IF(AND(ISNUMBER($H4),$H4&lt;TODAY()),"En retard","Ouverte")))</f>
      </c>
      <c r="K4" s="21">
        <f>IF(OR(NOT(ISNUMBER($A4)),$D4=""),"",IF($J4="Levée",$I4-$A4,TODAY()-$A4))</f>
      </c>
    </row>
    <row r="5" spans="1:11" x14ac:dyDescent="0.25">
      <c r="A5" s="24"/>
      <c r="B5" s="9"/>
      <c r="C5" s="20">
        <f>IF($B5="","",IFERROR(INDEX(Parc!$B$2:$B$301,MATCH($B5,Parc!$A$2:$A$301,0)),"Réf. inconnue"))</f>
      </c>
      <c r="D5" s="9"/>
      <c r="E5" s="23"/>
      <c r="F5" s="9"/>
      <c r="G5" s="9"/>
      <c r="H5" s="24"/>
      <c r="I5" s="24"/>
      <c r="J5" s="22">
        <f>IF($D5="","",IF(AND(ISNUMBER($I5),$I5&lt;=TODAY()),"Levée",IF(AND(ISNUMBER($H5),$H5&lt;TODAY()),"En retard","Ouverte")))</f>
      </c>
      <c r="K5" s="21">
        <f>IF(OR(NOT(ISNUMBER($A5)),$D5=""),"",IF($J5="Levée",$I5-$A5,TODAY()-$A5))</f>
      </c>
    </row>
    <row r="6" spans="1:11" x14ac:dyDescent="0.25">
      <c r="A6" s="24"/>
      <c r="B6" s="9"/>
      <c r="C6" s="20">
        <f>IF($B6="","",IFERROR(INDEX(Parc!$B$2:$B$301,MATCH($B6,Parc!$A$2:$A$301,0)),"Réf. inconnue"))</f>
      </c>
      <c r="D6" s="9"/>
      <c r="E6" s="23"/>
      <c r="F6" s="9"/>
      <c r="G6" s="9"/>
      <c r="H6" s="24"/>
      <c r="I6" s="24"/>
      <c r="J6" s="22">
        <f>IF($D6="","",IF(AND(ISNUMBER($I6),$I6&lt;=TODAY()),"Levée",IF(AND(ISNUMBER($H6),$H6&lt;TODAY()),"En retard","Ouverte")))</f>
      </c>
      <c r="K6" s="21">
        <f>IF(OR(NOT(ISNUMBER($A6)),$D6=""),"",IF($J6="Levée",$I6-$A6,TODAY()-$A6))</f>
      </c>
    </row>
    <row r="7" spans="1:11" x14ac:dyDescent="0.25">
      <c r="A7" s="24"/>
      <c r="B7" s="9"/>
      <c r="C7" s="20">
        <f>IF($B7="","",IFERROR(INDEX(Parc!$B$2:$B$301,MATCH($B7,Parc!$A$2:$A$301,0)),"Réf. inconnue"))</f>
      </c>
      <c r="D7" s="9"/>
      <c r="E7" s="23"/>
      <c r="F7" s="9"/>
      <c r="G7" s="9"/>
      <c r="H7" s="24"/>
      <c r="I7" s="24"/>
      <c r="J7" s="22">
        <f>IF($D7="","",IF(AND(ISNUMBER($I7),$I7&lt;=TODAY()),"Levée",IF(AND(ISNUMBER($H7),$H7&lt;TODAY()),"En retard","Ouverte")))</f>
      </c>
      <c r="K7" s="21">
        <f>IF(OR(NOT(ISNUMBER($A7)),$D7=""),"",IF($J7="Levée",$I7-$A7,TODAY()-$A7))</f>
      </c>
    </row>
    <row r="8" spans="1:11" x14ac:dyDescent="0.25">
      <c r="A8" s="24"/>
      <c r="B8" s="9"/>
      <c r="C8" s="20">
        <f>IF($B8="","",IFERROR(INDEX(Parc!$B$2:$B$301,MATCH($B8,Parc!$A$2:$A$301,0)),"Réf. inconnue"))</f>
      </c>
      <c r="D8" s="9"/>
      <c r="E8" s="23"/>
      <c r="F8" s="9"/>
      <c r="G8" s="9"/>
      <c r="H8" s="24"/>
      <c r="I8" s="24"/>
      <c r="J8" s="22">
        <f>IF($D8="","",IF(AND(ISNUMBER($I8),$I8&lt;=TODAY()),"Levée",IF(AND(ISNUMBER($H8),$H8&lt;TODAY()),"En retard","Ouverte")))</f>
      </c>
      <c r="K8" s="21">
        <f>IF(OR(NOT(ISNUMBER($A8)),$D8=""),"",IF($J8="Levée",$I8-$A8,TODAY()-$A8))</f>
      </c>
    </row>
    <row r="9" spans="1:11" x14ac:dyDescent="0.25">
      <c r="A9" s="24"/>
      <c r="B9" s="9"/>
      <c r="C9" s="20">
        <f>IF($B9="","",IFERROR(INDEX(Parc!$B$2:$B$301,MATCH($B9,Parc!$A$2:$A$301,0)),"Réf. inconnue"))</f>
      </c>
      <c r="D9" s="9"/>
      <c r="E9" s="23"/>
      <c r="F9" s="9"/>
      <c r="G9" s="9"/>
      <c r="H9" s="24"/>
      <c r="I9" s="24"/>
      <c r="J9" s="22">
        <f>IF($D9="","",IF(AND(ISNUMBER($I9),$I9&lt;=TODAY()),"Levée",IF(AND(ISNUMBER($H9),$H9&lt;TODAY()),"En retard","Ouverte")))</f>
      </c>
      <c r="K9" s="21">
        <f>IF(OR(NOT(ISNUMBER($A9)),$D9=""),"",IF($J9="Levée",$I9-$A9,TODAY()-$A9))</f>
      </c>
    </row>
    <row r="10" spans="1:11" x14ac:dyDescent="0.25">
      <c r="A10" s="24"/>
      <c r="B10" s="9"/>
      <c r="C10" s="20">
        <f>IF($B10="","",IFERROR(INDEX(Parc!$B$2:$B$301,MATCH($B10,Parc!$A$2:$A$301,0)),"Réf. inconnue"))</f>
      </c>
      <c r="D10" s="9"/>
      <c r="E10" s="23"/>
      <c r="F10" s="9"/>
      <c r="G10" s="9"/>
      <c r="H10" s="24"/>
      <c r="I10" s="24"/>
      <c r="J10" s="22">
        <f>IF($D10="","",IF(AND(ISNUMBER($I10),$I10&lt;=TODAY()),"Levée",IF(AND(ISNUMBER($H10),$H10&lt;TODAY()),"En retard","Ouverte")))</f>
      </c>
      <c r="K10" s="21">
        <f>IF(OR(NOT(ISNUMBER($A10)),$D10=""),"",IF($J10="Levée",$I10-$A10,TODAY()-$A10))</f>
      </c>
    </row>
    <row r="11" spans="1:11" x14ac:dyDescent="0.25">
      <c r="A11" s="24"/>
      <c r="B11" s="9"/>
      <c r="C11" s="20">
        <f>IF($B11="","",IFERROR(INDEX(Parc!$B$2:$B$301,MATCH($B11,Parc!$A$2:$A$301,0)),"Réf. inconnue"))</f>
      </c>
      <c r="D11" s="9"/>
      <c r="E11" s="23"/>
      <c r="F11" s="9"/>
      <c r="G11" s="9"/>
      <c r="H11" s="24"/>
      <c r="I11" s="24"/>
      <c r="J11" s="22">
        <f>IF($D11="","",IF(AND(ISNUMBER($I11),$I11&lt;=TODAY()),"Levée",IF(AND(ISNUMBER($H11),$H11&lt;TODAY()),"En retard","Ouverte")))</f>
      </c>
      <c r="K11" s="21">
        <f>IF(OR(NOT(ISNUMBER($A11)),$D11=""),"",IF($J11="Levée",$I11-$A11,TODAY()-$A11))</f>
      </c>
    </row>
    <row r="12" spans="1:11" x14ac:dyDescent="0.25">
      <c r="A12" s="24"/>
      <c r="B12" s="9"/>
      <c r="C12" s="20">
        <f>IF($B12="","",IFERROR(INDEX(Parc!$B$2:$B$301,MATCH($B12,Parc!$A$2:$A$301,0)),"Réf. inconnue"))</f>
      </c>
      <c r="D12" s="9"/>
      <c r="E12" s="23"/>
      <c r="F12" s="9"/>
      <c r="G12" s="9"/>
      <c r="H12" s="24"/>
      <c r="I12" s="24"/>
      <c r="J12" s="22">
        <f>IF($D12="","",IF(AND(ISNUMBER($I12),$I12&lt;=TODAY()),"Levée",IF(AND(ISNUMBER($H12),$H12&lt;TODAY()),"En retard","Ouverte")))</f>
      </c>
      <c r="K12" s="21">
        <f>IF(OR(NOT(ISNUMBER($A12)),$D12=""),"",IF($J12="Levée",$I12-$A12,TODAY()-$A12))</f>
      </c>
    </row>
    <row r="13" spans="1:11" x14ac:dyDescent="0.25">
      <c r="A13" s="24"/>
      <c r="B13" s="9"/>
      <c r="C13" s="20">
        <f>IF($B13="","",IFERROR(INDEX(Parc!$B$2:$B$301,MATCH($B13,Parc!$A$2:$A$301,0)),"Réf. inconnue"))</f>
      </c>
      <c r="D13" s="9"/>
      <c r="E13" s="23"/>
      <c r="F13" s="9"/>
      <c r="G13" s="9"/>
      <c r="H13" s="24"/>
      <c r="I13" s="24"/>
      <c r="J13" s="22">
        <f>IF($D13="","",IF(AND(ISNUMBER($I13),$I13&lt;=TODAY()),"Levée",IF(AND(ISNUMBER($H13),$H13&lt;TODAY()),"En retard","Ouverte")))</f>
      </c>
      <c r="K13" s="21">
        <f>IF(OR(NOT(ISNUMBER($A13)),$D13=""),"",IF($J13="Levée",$I13-$A13,TODAY()-$A13))</f>
      </c>
    </row>
    <row r="14" spans="1:11" x14ac:dyDescent="0.25">
      <c r="A14" s="24"/>
      <c r="B14" s="9"/>
      <c r="C14" s="20">
        <f>IF($B14="","",IFERROR(INDEX(Parc!$B$2:$B$301,MATCH($B14,Parc!$A$2:$A$301,0)),"Réf. inconnue"))</f>
      </c>
      <c r="D14" s="9"/>
      <c r="E14" s="23"/>
      <c r="F14" s="9"/>
      <c r="G14" s="9"/>
      <c r="H14" s="24"/>
      <c r="I14" s="24"/>
      <c r="J14" s="22">
        <f>IF($D14="","",IF(AND(ISNUMBER($I14),$I14&lt;=TODAY()),"Levée",IF(AND(ISNUMBER($H14),$H14&lt;TODAY()),"En retard","Ouverte")))</f>
      </c>
      <c r="K14" s="21">
        <f>IF(OR(NOT(ISNUMBER($A14)),$D14=""),"",IF($J14="Levée",$I14-$A14,TODAY()-$A14))</f>
      </c>
    </row>
    <row r="15" spans="1:11" x14ac:dyDescent="0.25">
      <c r="A15" s="24"/>
      <c r="B15" s="9"/>
      <c r="C15" s="20">
        <f>IF($B15="","",IFERROR(INDEX(Parc!$B$2:$B$301,MATCH($B15,Parc!$A$2:$A$301,0)),"Réf. inconnue"))</f>
      </c>
      <c r="D15" s="9"/>
      <c r="E15" s="23"/>
      <c r="F15" s="9"/>
      <c r="G15" s="9"/>
      <c r="H15" s="24"/>
      <c r="I15" s="24"/>
      <c r="J15" s="22">
        <f>IF($D15="","",IF(AND(ISNUMBER($I15),$I15&lt;=TODAY()),"Levée",IF(AND(ISNUMBER($H15),$H15&lt;TODAY()),"En retard","Ouverte")))</f>
      </c>
      <c r="K15" s="21">
        <f>IF(OR(NOT(ISNUMBER($A15)),$D15=""),"",IF($J15="Levée",$I15-$A15,TODAY()-$A15))</f>
      </c>
    </row>
    <row r="16" spans="1:11" x14ac:dyDescent="0.25">
      <c r="A16" s="24"/>
      <c r="B16" s="9"/>
      <c r="C16" s="20">
        <f>IF($B16="","",IFERROR(INDEX(Parc!$B$2:$B$301,MATCH($B16,Parc!$A$2:$A$301,0)),"Réf. inconnue"))</f>
      </c>
      <c r="D16" s="9"/>
      <c r="E16" s="23"/>
      <c r="F16" s="9"/>
      <c r="G16" s="9"/>
      <c r="H16" s="24"/>
      <c r="I16" s="24"/>
      <c r="J16" s="22">
        <f>IF($D16="","",IF(AND(ISNUMBER($I16),$I16&lt;=TODAY()),"Levée",IF(AND(ISNUMBER($H16),$H16&lt;TODAY()),"En retard","Ouverte")))</f>
      </c>
      <c r="K16" s="21">
        <f>IF(OR(NOT(ISNUMBER($A16)),$D16=""),"",IF($J16="Levée",$I16-$A16,TODAY()-$A16))</f>
      </c>
    </row>
    <row r="17" spans="1:11" x14ac:dyDescent="0.25">
      <c r="A17" s="24"/>
      <c r="B17" s="9"/>
      <c r="C17" s="20">
        <f>IF($B17="","",IFERROR(INDEX(Parc!$B$2:$B$301,MATCH($B17,Parc!$A$2:$A$301,0)),"Réf. inconnue"))</f>
      </c>
      <c r="D17" s="9"/>
      <c r="E17" s="23"/>
      <c r="F17" s="9"/>
      <c r="G17" s="9"/>
      <c r="H17" s="24"/>
      <c r="I17" s="24"/>
      <c r="J17" s="22">
        <f>IF($D17="","",IF(AND(ISNUMBER($I17),$I17&lt;=TODAY()),"Levée",IF(AND(ISNUMBER($H17),$H17&lt;TODAY()),"En retard","Ouverte")))</f>
      </c>
      <c r="K17" s="21">
        <f>IF(OR(NOT(ISNUMBER($A17)),$D17=""),"",IF($J17="Levée",$I17-$A17,TODAY()-$A17))</f>
      </c>
    </row>
    <row r="18" spans="1:11" x14ac:dyDescent="0.25">
      <c r="A18" s="24"/>
      <c r="B18" s="9"/>
      <c r="C18" s="20">
        <f>IF($B18="","",IFERROR(INDEX(Parc!$B$2:$B$301,MATCH($B18,Parc!$A$2:$A$301,0)),"Réf. inconnue"))</f>
      </c>
      <c r="D18" s="9"/>
      <c r="E18" s="23"/>
      <c r="F18" s="9"/>
      <c r="G18" s="9"/>
      <c r="H18" s="24"/>
      <c r="I18" s="24"/>
      <c r="J18" s="22">
        <f>IF($D18="","",IF(AND(ISNUMBER($I18),$I18&lt;=TODAY()),"Levée",IF(AND(ISNUMBER($H18),$H18&lt;TODAY()),"En retard","Ouverte")))</f>
      </c>
      <c r="K18" s="21">
        <f>IF(OR(NOT(ISNUMBER($A18)),$D18=""),"",IF($J18="Levée",$I18-$A18,TODAY()-$A18))</f>
      </c>
    </row>
    <row r="19" spans="1:11" x14ac:dyDescent="0.25">
      <c r="A19" s="24"/>
      <c r="B19" s="9"/>
      <c r="C19" s="20">
        <f>IF($B19="","",IFERROR(INDEX(Parc!$B$2:$B$301,MATCH($B19,Parc!$A$2:$A$301,0)),"Réf. inconnue"))</f>
      </c>
      <c r="D19" s="9"/>
      <c r="E19" s="23"/>
      <c r="F19" s="9"/>
      <c r="G19" s="9"/>
      <c r="H19" s="24"/>
      <c r="I19" s="24"/>
      <c r="J19" s="22">
        <f>IF($D19="","",IF(AND(ISNUMBER($I19),$I19&lt;=TODAY()),"Levée",IF(AND(ISNUMBER($H19),$H19&lt;TODAY()),"En retard","Ouverte")))</f>
      </c>
      <c r="K19" s="21">
        <f>IF(OR(NOT(ISNUMBER($A19)),$D19=""),"",IF($J19="Levée",$I19-$A19,TODAY()-$A19))</f>
      </c>
    </row>
    <row r="20" spans="1:11" x14ac:dyDescent="0.25">
      <c r="A20" s="24"/>
      <c r="B20" s="9"/>
      <c r="C20" s="20">
        <f>IF($B20="","",IFERROR(INDEX(Parc!$B$2:$B$301,MATCH($B20,Parc!$A$2:$A$301,0)),"Réf. inconnue"))</f>
      </c>
      <c r="D20" s="9"/>
      <c r="E20" s="23"/>
      <c r="F20" s="9"/>
      <c r="G20" s="9"/>
      <c r="H20" s="24"/>
      <c r="I20" s="24"/>
      <c r="J20" s="22">
        <f>IF($D20="","",IF(AND(ISNUMBER($I20),$I20&lt;=TODAY()),"Levée",IF(AND(ISNUMBER($H20),$H20&lt;TODAY()),"En retard","Ouverte")))</f>
      </c>
      <c r="K20" s="21">
        <f>IF(OR(NOT(ISNUMBER($A20)),$D20=""),"",IF($J20="Levée",$I20-$A20,TODAY()-$A20))</f>
      </c>
    </row>
    <row r="21" spans="1:11" x14ac:dyDescent="0.25">
      <c r="A21" s="24"/>
      <c r="B21" s="9"/>
      <c r="C21" s="20">
        <f>IF($B21="","",IFERROR(INDEX(Parc!$B$2:$B$301,MATCH($B21,Parc!$A$2:$A$301,0)),"Réf. inconnue"))</f>
      </c>
      <c r="D21" s="9"/>
      <c r="E21" s="23"/>
      <c r="F21" s="9"/>
      <c r="G21" s="9"/>
      <c r="H21" s="24"/>
      <c r="I21" s="24"/>
      <c r="J21" s="22">
        <f>IF($D21="","",IF(AND(ISNUMBER($I21),$I21&lt;=TODAY()),"Levée",IF(AND(ISNUMBER($H21),$H21&lt;TODAY()),"En retard","Ouverte")))</f>
      </c>
      <c r="K21" s="21">
        <f>IF(OR(NOT(ISNUMBER($A21)),$D21=""),"",IF($J21="Levée",$I21-$A21,TODAY()-$A21))</f>
      </c>
    </row>
    <row r="22" spans="1:11" x14ac:dyDescent="0.25">
      <c r="A22" s="24"/>
      <c r="B22" s="9"/>
      <c r="C22" s="20">
        <f>IF($B22="","",IFERROR(INDEX(Parc!$B$2:$B$301,MATCH($B22,Parc!$A$2:$A$301,0)),"Réf. inconnue"))</f>
      </c>
      <c r="D22" s="9"/>
      <c r="E22" s="23"/>
      <c r="F22" s="9"/>
      <c r="G22" s="9"/>
      <c r="H22" s="24"/>
      <c r="I22" s="24"/>
      <c r="J22" s="22">
        <f>IF($D22="","",IF(AND(ISNUMBER($I22),$I22&lt;=TODAY()),"Levée",IF(AND(ISNUMBER($H22),$H22&lt;TODAY()),"En retard","Ouverte")))</f>
      </c>
      <c r="K22" s="21">
        <f>IF(OR(NOT(ISNUMBER($A22)),$D22=""),"",IF($J22="Levée",$I22-$A22,TODAY()-$A22))</f>
      </c>
    </row>
    <row r="23" spans="1:11" x14ac:dyDescent="0.25">
      <c r="A23" s="24"/>
      <c r="B23" s="9"/>
      <c r="C23" s="20">
        <f>IF($B23="","",IFERROR(INDEX(Parc!$B$2:$B$301,MATCH($B23,Parc!$A$2:$A$301,0)),"Réf. inconnue"))</f>
      </c>
      <c r="D23" s="9"/>
      <c r="E23" s="23"/>
      <c r="F23" s="9"/>
      <c r="G23" s="9"/>
      <c r="H23" s="24"/>
      <c r="I23" s="24"/>
      <c r="J23" s="22">
        <f>IF($D23="","",IF(AND(ISNUMBER($I23),$I23&lt;=TODAY()),"Levée",IF(AND(ISNUMBER($H23),$H23&lt;TODAY()),"En retard","Ouverte")))</f>
      </c>
      <c r="K23" s="21">
        <f>IF(OR(NOT(ISNUMBER($A23)),$D23=""),"",IF($J23="Levée",$I23-$A23,TODAY()-$A23))</f>
      </c>
    </row>
    <row r="24" spans="1:11" x14ac:dyDescent="0.25">
      <c r="A24" s="24"/>
      <c r="B24" s="9"/>
      <c r="C24" s="20">
        <f>IF($B24="","",IFERROR(INDEX(Parc!$B$2:$B$301,MATCH($B24,Parc!$A$2:$A$301,0)),"Réf. inconnue"))</f>
      </c>
      <c r="D24" s="9"/>
      <c r="E24" s="23"/>
      <c r="F24" s="9"/>
      <c r="G24" s="9"/>
      <c r="H24" s="24"/>
      <c r="I24" s="24"/>
      <c r="J24" s="22">
        <f>IF($D24="","",IF(AND(ISNUMBER($I24),$I24&lt;=TODAY()),"Levée",IF(AND(ISNUMBER($H24),$H24&lt;TODAY()),"En retard","Ouverte")))</f>
      </c>
      <c r="K24" s="21">
        <f>IF(OR(NOT(ISNUMBER($A24)),$D24=""),"",IF($J24="Levée",$I24-$A24,TODAY()-$A24))</f>
      </c>
    </row>
    <row r="25" spans="1:11" x14ac:dyDescent="0.25">
      <c r="A25" s="24"/>
      <c r="B25" s="9"/>
      <c r="C25" s="20">
        <f>IF($B25="","",IFERROR(INDEX(Parc!$B$2:$B$301,MATCH($B25,Parc!$A$2:$A$301,0)),"Réf. inconnue"))</f>
      </c>
      <c r="D25" s="9"/>
      <c r="E25" s="23"/>
      <c r="F25" s="9"/>
      <c r="G25" s="9"/>
      <c r="H25" s="24"/>
      <c r="I25" s="24"/>
      <c r="J25" s="22">
        <f>IF($D25="","",IF(AND(ISNUMBER($I25),$I25&lt;=TODAY()),"Levée",IF(AND(ISNUMBER($H25),$H25&lt;TODAY()),"En retard","Ouverte")))</f>
      </c>
      <c r="K25" s="21">
        <f>IF(OR(NOT(ISNUMBER($A25)),$D25=""),"",IF($J25="Levée",$I25-$A25,TODAY()-$A25))</f>
      </c>
    </row>
    <row r="26" spans="1:11" x14ac:dyDescent="0.25">
      <c r="A26" s="24"/>
      <c r="B26" s="9"/>
      <c r="C26" s="20">
        <f>IF($B26="","",IFERROR(INDEX(Parc!$B$2:$B$301,MATCH($B26,Parc!$A$2:$A$301,0)),"Réf. inconnue"))</f>
      </c>
      <c r="D26" s="9"/>
      <c r="E26" s="23"/>
      <c r="F26" s="9"/>
      <c r="G26" s="9"/>
      <c r="H26" s="24"/>
      <c r="I26" s="24"/>
      <c r="J26" s="22">
        <f>IF($D26="","",IF(AND(ISNUMBER($I26),$I26&lt;=TODAY()),"Levée",IF(AND(ISNUMBER($H26),$H26&lt;TODAY()),"En retard","Ouverte")))</f>
      </c>
      <c r="K26" s="21">
        <f>IF(OR(NOT(ISNUMBER($A26)),$D26=""),"",IF($J26="Levée",$I26-$A26,TODAY()-$A26))</f>
      </c>
    </row>
    <row r="27" spans="1:11" x14ac:dyDescent="0.25">
      <c r="A27" s="24"/>
      <c r="B27" s="9"/>
      <c r="C27" s="20">
        <f>IF($B27="","",IFERROR(INDEX(Parc!$B$2:$B$301,MATCH($B27,Parc!$A$2:$A$301,0)),"Réf. inconnue"))</f>
      </c>
      <c r="D27" s="9"/>
      <c r="E27" s="23"/>
      <c r="F27" s="9"/>
      <c r="G27" s="9"/>
      <c r="H27" s="24"/>
      <c r="I27" s="24"/>
      <c r="J27" s="22">
        <f>IF($D27="","",IF(AND(ISNUMBER($I27),$I27&lt;=TODAY()),"Levée",IF(AND(ISNUMBER($H27),$H27&lt;TODAY()),"En retard","Ouverte")))</f>
      </c>
      <c r="K27" s="21">
        <f>IF(OR(NOT(ISNUMBER($A27)),$D27=""),"",IF($J27="Levée",$I27-$A27,TODAY()-$A27))</f>
      </c>
    </row>
    <row r="28" spans="1:11" x14ac:dyDescent="0.25">
      <c r="A28" s="24"/>
      <c r="B28" s="9"/>
      <c r="C28" s="20">
        <f>IF($B28="","",IFERROR(INDEX(Parc!$B$2:$B$301,MATCH($B28,Parc!$A$2:$A$301,0)),"Réf. inconnue"))</f>
      </c>
      <c r="D28" s="9"/>
      <c r="E28" s="23"/>
      <c r="F28" s="9"/>
      <c r="G28" s="9"/>
      <c r="H28" s="24"/>
      <c r="I28" s="24"/>
      <c r="J28" s="22">
        <f>IF($D28="","",IF(AND(ISNUMBER($I28),$I28&lt;=TODAY()),"Levée",IF(AND(ISNUMBER($H28),$H28&lt;TODAY()),"En retard","Ouverte")))</f>
      </c>
      <c r="K28" s="21">
        <f>IF(OR(NOT(ISNUMBER($A28)),$D28=""),"",IF($J28="Levée",$I28-$A28,TODAY()-$A28))</f>
      </c>
    </row>
    <row r="29" spans="1:11" x14ac:dyDescent="0.25">
      <c r="A29" s="24"/>
      <c r="B29" s="9"/>
      <c r="C29" s="20">
        <f>IF($B29="","",IFERROR(INDEX(Parc!$B$2:$B$301,MATCH($B29,Parc!$A$2:$A$301,0)),"Réf. inconnue"))</f>
      </c>
      <c r="D29" s="9"/>
      <c r="E29" s="23"/>
      <c r="F29" s="9"/>
      <c r="G29" s="9"/>
      <c r="H29" s="24"/>
      <c r="I29" s="24"/>
      <c r="J29" s="22">
        <f>IF($D29="","",IF(AND(ISNUMBER($I29),$I29&lt;=TODAY()),"Levée",IF(AND(ISNUMBER($H29),$H29&lt;TODAY()),"En retard","Ouverte")))</f>
      </c>
      <c r="K29" s="21">
        <f>IF(OR(NOT(ISNUMBER($A29)),$D29=""),"",IF($J29="Levée",$I29-$A29,TODAY()-$A29))</f>
      </c>
    </row>
    <row r="30" spans="1:11" x14ac:dyDescent="0.25">
      <c r="A30" s="24"/>
      <c r="B30" s="9"/>
      <c r="C30" s="20">
        <f>IF($B30="","",IFERROR(INDEX(Parc!$B$2:$B$301,MATCH($B30,Parc!$A$2:$A$301,0)),"Réf. inconnue"))</f>
      </c>
      <c r="D30" s="9"/>
      <c r="E30" s="23"/>
      <c r="F30" s="9"/>
      <c r="G30" s="9"/>
      <c r="H30" s="24"/>
      <c r="I30" s="24"/>
      <c r="J30" s="22">
        <f>IF($D30="","",IF(AND(ISNUMBER($I30),$I30&lt;=TODAY()),"Levée",IF(AND(ISNUMBER($H30),$H30&lt;TODAY()),"En retard","Ouverte")))</f>
      </c>
      <c r="K30" s="21">
        <f>IF(OR(NOT(ISNUMBER($A30)),$D30=""),"",IF($J30="Levée",$I30-$A30,TODAY()-$A30))</f>
      </c>
    </row>
    <row r="31" spans="1:11" x14ac:dyDescent="0.25">
      <c r="A31" s="24"/>
      <c r="B31" s="9"/>
      <c r="C31" s="20">
        <f>IF($B31="","",IFERROR(INDEX(Parc!$B$2:$B$301,MATCH($B31,Parc!$A$2:$A$301,0)),"Réf. inconnue"))</f>
      </c>
      <c r="D31" s="9"/>
      <c r="E31" s="23"/>
      <c r="F31" s="9"/>
      <c r="G31" s="9"/>
      <c r="H31" s="24"/>
      <c r="I31" s="24"/>
      <c r="J31" s="22">
        <f>IF($D31="","",IF(AND(ISNUMBER($I31),$I31&lt;=TODAY()),"Levée",IF(AND(ISNUMBER($H31),$H31&lt;TODAY()),"En retard","Ouverte")))</f>
      </c>
      <c r="K31" s="21">
        <f>IF(OR(NOT(ISNUMBER($A31)),$D31=""),"",IF($J31="Levée",$I31-$A31,TODAY()-$A31))</f>
      </c>
    </row>
    <row r="32" spans="1:11" x14ac:dyDescent="0.25">
      <c r="A32" s="24"/>
      <c r="B32" s="9"/>
      <c r="C32" s="20">
        <f>IF($B32="","",IFERROR(INDEX(Parc!$B$2:$B$301,MATCH($B32,Parc!$A$2:$A$301,0)),"Réf. inconnue"))</f>
      </c>
      <c r="D32" s="9"/>
      <c r="E32" s="23"/>
      <c r="F32" s="9"/>
      <c r="G32" s="9"/>
      <c r="H32" s="24"/>
      <c r="I32" s="24"/>
      <c r="J32" s="22">
        <f>IF($D32="","",IF(AND(ISNUMBER($I32),$I32&lt;=TODAY()),"Levée",IF(AND(ISNUMBER($H32),$H32&lt;TODAY()),"En retard","Ouverte")))</f>
      </c>
      <c r="K32" s="21">
        <f>IF(OR(NOT(ISNUMBER($A32)),$D32=""),"",IF($J32="Levée",$I32-$A32,TODAY()-$A32))</f>
      </c>
    </row>
    <row r="33" spans="1:11" x14ac:dyDescent="0.25">
      <c r="A33" s="24"/>
      <c r="B33" s="9"/>
      <c r="C33" s="20">
        <f>IF($B33="","",IFERROR(INDEX(Parc!$B$2:$B$301,MATCH($B33,Parc!$A$2:$A$301,0)),"Réf. inconnue"))</f>
      </c>
      <c r="D33" s="9"/>
      <c r="E33" s="23"/>
      <c r="F33" s="9"/>
      <c r="G33" s="9"/>
      <c r="H33" s="24"/>
      <c r="I33" s="24"/>
      <c r="J33" s="22">
        <f>IF($D33="","",IF(AND(ISNUMBER($I33),$I33&lt;=TODAY()),"Levée",IF(AND(ISNUMBER($H33),$H33&lt;TODAY()),"En retard","Ouverte")))</f>
      </c>
      <c r="K33" s="21">
        <f>IF(OR(NOT(ISNUMBER($A33)),$D33=""),"",IF($J33="Levée",$I33-$A33,TODAY()-$A33))</f>
      </c>
    </row>
    <row r="34" spans="1:11" x14ac:dyDescent="0.25">
      <c r="A34" s="24"/>
      <c r="B34" s="9"/>
      <c r="C34" s="20">
        <f>IF($B34="","",IFERROR(INDEX(Parc!$B$2:$B$301,MATCH($B34,Parc!$A$2:$A$301,0)),"Réf. inconnue"))</f>
      </c>
      <c r="D34" s="9"/>
      <c r="E34" s="23"/>
      <c r="F34" s="9"/>
      <c r="G34" s="9"/>
      <c r="H34" s="24"/>
      <c r="I34" s="24"/>
      <c r="J34" s="22">
        <f>IF($D34="","",IF(AND(ISNUMBER($I34),$I34&lt;=TODAY()),"Levée",IF(AND(ISNUMBER($H34),$H34&lt;TODAY()),"En retard","Ouverte")))</f>
      </c>
      <c r="K34" s="21">
        <f>IF(OR(NOT(ISNUMBER($A34)),$D34=""),"",IF($J34="Levée",$I34-$A34,TODAY()-$A34))</f>
      </c>
    </row>
    <row r="35" spans="1:11" x14ac:dyDescent="0.25">
      <c r="A35" s="24"/>
      <c r="B35" s="9"/>
      <c r="C35" s="20">
        <f>IF($B35="","",IFERROR(INDEX(Parc!$B$2:$B$301,MATCH($B35,Parc!$A$2:$A$301,0)),"Réf. inconnue"))</f>
      </c>
      <c r="D35" s="9"/>
      <c r="E35" s="23"/>
      <c r="F35" s="9"/>
      <c r="G35" s="9"/>
      <c r="H35" s="24"/>
      <c r="I35" s="24"/>
      <c r="J35" s="22">
        <f>IF($D35="","",IF(AND(ISNUMBER($I35),$I35&lt;=TODAY()),"Levée",IF(AND(ISNUMBER($H35),$H35&lt;TODAY()),"En retard","Ouverte")))</f>
      </c>
      <c r="K35" s="21">
        <f>IF(OR(NOT(ISNUMBER($A35)),$D35=""),"",IF($J35="Levée",$I35-$A35,TODAY()-$A35))</f>
      </c>
    </row>
    <row r="36" spans="1:11" x14ac:dyDescent="0.25">
      <c r="A36" s="24"/>
      <c r="B36" s="9"/>
      <c r="C36" s="20">
        <f>IF($B36="","",IFERROR(INDEX(Parc!$B$2:$B$301,MATCH($B36,Parc!$A$2:$A$301,0)),"Réf. inconnue"))</f>
      </c>
      <c r="D36" s="9"/>
      <c r="E36" s="23"/>
      <c r="F36" s="9"/>
      <c r="G36" s="9"/>
      <c r="H36" s="24"/>
      <c r="I36" s="24"/>
      <c r="J36" s="22">
        <f>IF($D36="","",IF(AND(ISNUMBER($I36),$I36&lt;=TODAY()),"Levée",IF(AND(ISNUMBER($H36),$H36&lt;TODAY()),"En retard","Ouverte")))</f>
      </c>
      <c r="K36" s="21">
        <f>IF(OR(NOT(ISNUMBER($A36)),$D36=""),"",IF($J36="Levée",$I36-$A36,TODAY()-$A36))</f>
      </c>
    </row>
    <row r="37" spans="1:11" x14ac:dyDescent="0.25">
      <c r="A37" s="24"/>
      <c r="B37" s="9"/>
      <c r="C37" s="20">
        <f>IF($B37="","",IFERROR(INDEX(Parc!$B$2:$B$301,MATCH($B37,Parc!$A$2:$A$301,0)),"Réf. inconnue"))</f>
      </c>
      <c r="D37" s="9"/>
      <c r="E37" s="23"/>
      <c r="F37" s="9"/>
      <c r="G37" s="9"/>
      <c r="H37" s="24"/>
      <c r="I37" s="24"/>
      <c r="J37" s="22">
        <f>IF($D37="","",IF(AND(ISNUMBER($I37),$I37&lt;=TODAY()),"Levée",IF(AND(ISNUMBER($H37),$H37&lt;TODAY()),"En retard","Ouverte")))</f>
      </c>
      <c r="K37" s="21">
        <f>IF(OR(NOT(ISNUMBER($A37)),$D37=""),"",IF($J37="Levée",$I37-$A37,TODAY()-$A37))</f>
      </c>
    </row>
    <row r="38" spans="1:11" x14ac:dyDescent="0.25">
      <c r="A38" s="24"/>
      <c r="B38" s="9"/>
      <c r="C38" s="20">
        <f>IF($B38="","",IFERROR(INDEX(Parc!$B$2:$B$301,MATCH($B38,Parc!$A$2:$A$301,0)),"Réf. inconnue"))</f>
      </c>
      <c r="D38" s="9"/>
      <c r="E38" s="23"/>
      <c r="F38" s="9"/>
      <c r="G38" s="9"/>
      <c r="H38" s="24"/>
      <c r="I38" s="24"/>
      <c r="J38" s="22">
        <f>IF($D38="","",IF(AND(ISNUMBER($I38),$I38&lt;=TODAY()),"Levée",IF(AND(ISNUMBER($H38),$H38&lt;TODAY()),"En retard","Ouverte")))</f>
      </c>
      <c r="K38" s="21">
        <f>IF(OR(NOT(ISNUMBER($A38)),$D38=""),"",IF($J38="Levée",$I38-$A38,TODAY()-$A38))</f>
      </c>
    </row>
    <row r="39" spans="1:11" x14ac:dyDescent="0.25">
      <c r="A39" s="24"/>
      <c r="B39" s="9"/>
      <c r="C39" s="20">
        <f>IF($B39="","",IFERROR(INDEX(Parc!$B$2:$B$301,MATCH($B39,Parc!$A$2:$A$301,0)),"Réf. inconnue"))</f>
      </c>
      <c r="D39" s="9"/>
      <c r="E39" s="23"/>
      <c r="F39" s="9"/>
      <c r="G39" s="9"/>
      <c r="H39" s="24"/>
      <c r="I39" s="24"/>
      <c r="J39" s="22">
        <f>IF($D39="","",IF(AND(ISNUMBER($I39),$I39&lt;=TODAY()),"Levée",IF(AND(ISNUMBER($H39),$H39&lt;TODAY()),"En retard","Ouverte")))</f>
      </c>
      <c r="K39" s="21">
        <f>IF(OR(NOT(ISNUMBER($A39)),$D39=""),"",IF($J39="Levée",$I39-$A39,TODAY()-$A39))</f>
      </c>
    </row>
    <row r="40" spans="1:11" x14ac:dyDescent="0.25">
      <c r="A40" s="24"/>
      <c r="B40" s="9"/>
      <c r="C40" s="20">
        <f>IF($B40="","",IFERROR(INDEX(Parc!$B$2:$B$301,MATCH($B40,Parc!$A$2:$A$301,0)),"Réf. inconnue"))</f>
      </c>
      <c r="D40" s="9"/>
      <c r="E40" s="23"/>
      <c r="F40" s="9"/>
      <c r="G40" s="9"/>
      <c r="H40" s="24"/>
      <c r="I40" s="24"/>
      <c r="J40" s="22">
        <f>IF($D40="","",IF(AND(ISNUMBER($I40),$I40&lt;=TODAY()),"Levée",IF(AND(ISNUMBER($H40),$H40&lt;TODAY()),"En retard","Ouverte")))</f>
      </c>
      <c r="K40" s="21">
        <f>IF(OR(NOT(ISNUMBER($A40)),$D40=""),"",IF($J40="Levée",$I40-$A40,TODAY()-$A40))</f>
      </c>
    </row>
    <row r="41" spans="1:11" x14ac:dyDescent="0.25">
      <c r="A41" s="24"/>
      <c r="B41" s="9"/>
      <c r="C41" s="20">
        <f>IF($B41="","",IFERROR(INDEX(Parc!$B$2:$B$301,MATCH($B41,Parc!$A$2:$A$301,0)),"Réf. inconnue"))</f>
      </c>
      <c r="D41" s="9"/>
      <c r="E41" s="23"/>
      <c r="F41" s="9"/>
      <c r="G41" s="9"/>
      <c r="H41" s="24"/>
      <c r="I41" s="24"/>
      <c r="J41" s="22">
        <f>IF($D41="","",IF(AND(ISNUMBER($I41),$I41&lt;=TODAY()),"Levée",IF(AND(ISNUMBER($H41),$H41&lt;TODAY()),"En retard","Ouverte")))</f>
      </c>
      <c r="K41" s="21">
        <f>IF(OR(NOT(ISNUMBER($A41)),$D41=""),"",IF($J41="Levée",$I41-$A41,TODAY()-$A41))</f>
      </c>
    </row>
    <row r="42" spans="1:11" x14ac:dyDescent="0.25">
      <c r="A42" s="24"/>
      <c r="B42" s="9"/>
      <c r="C42" s="20">
        <f>IF($B42="","",IFERROR(INDEX(Parc!$B$2:$B$301,MATCH($B42,Parc!$A$2:$A$301,0)),"Réf. inconnue"))</f>
      </c>
      <c r="D42" s="9"/>
      <c r="E42" s="23"/>
      <c r="F42" s="9"/>
      <c r="G42" s="9"/>
      <c r="H42" s="24"/>
      <c r="I42" s="24"/>
      <c r="J42" s="22">
        <f>IF($D42="","",IF(AND(ISNUMBER($I42),$I42&lt;=TODAY()),"Levée",IF(AND(ISNUMBER($H42),$H42&lt;TODAY()),"En retard","Ouverte")))</f>
      </c>
      <c r="K42" s="21">
        <f>IF(OR(NOT(ISNUMBER($A42)),$D42=""),"",IF($J42="Levée",$I42-$A42,TODAY()-$A42))</f>
      </c>
    </row>
    <row r="43" spans="1:11" x14ac:dyDescent="0.25">
      <c r="A43" s="24"/>
      <c r="B43" s="9"/>
      <c r="C43" s="20">
        <f>IF($B43="","",IFERROR(INDEX(Parc!$B$2:$B$301,MATCH($B43,Parc!$A$2:$A$301,0)),"Réf. inconnue"))</f>
      </c>
      <c r="D43" s="9"/>
      <c r="E43" s="23"/>
      <c r="F43" s="9"/>
      <c r="G43" s="9"/>
      <c r="H43" s="24"/>
      <c r="I43" s="24"/>
      <c r="J43" s="22">
        <f>IF($D43="","",IF(AND(ISNUMBER($I43),$I43&lt;=TODAY()),"Levée",IF(AND(ISNUMBER($H43),$H43&lt;TODAY()),"En retard","Ouverte")))</f>
      </c>
      <c r="K43" s="21">
        <f>IF(OR(NOT(ISNUMBER($A43)),$D43=""),"",IF($J43="Levée",$I43-$A43,TODAY()-$A43))</f>
      </c>
    </row>
    <row r="44" spans="1:11" x14ac:dyDescent="0.25">
      <c r="A44" s="24"/>
      <c r="B44" s="9"/>
      <c r="C44" s="20">
        <f>IF($B44="","",IFERROR(INDEX(Parc!$B$2:$B$301,MATCH($B44,Parc!$A$2:$A$301,0)),"Réf. inconnue"))</f>
      </c>
      <c r="D44" s="9"/>
      <c r="E44" s="23"/>
      <c r="F44" s="9"/>
      <c r="G44" s="9"/>
      <c r="H44" s="24"/>
      <c r="I44" s="24"/>
      <c r="J44" s="22">
        <f>IF($D44="","",IF(AND(ISNUMBER($I44),$I44&lt;=TODAY()),"Levée",IF(AND(ISNUMBER($H44),$H44&lt;TODAY()),"En retard","Ouverte")))</f>
      </c>
      <c r="K44" s="21">
        <f>IF(OR(NOT(ISNUMBER($A44)),$D44=""),"",IF($J44="Levée",$I44-$A44,TODAY()-$A44))</f>
      </c>
    </row>
    <row r="45" spans="1:11" x14ac:dyDescent="0.25">
      <c r="A45" s="24"/>
      <c r="B45" s="9"/>
      <c r="C45" s="20">
        <f>IF($B45="","",IFERROR(INDEX(Parc!$B$2:$B$301,MATCH($B45,Parc!$A$2:$A$301,0)),"Réf. inconnue"))</f>
      </c>
      <c r="D45" s="9"/>
      <c r="E45" s="23"/>
      <c r="F45" s="9"/>
      <c r="G45" s="9"/>
      <c r="H45" s="24"/>
      <c r="I45" s="24"/>
      <c r="J45" s="22">
        <f>IF($D45="","",IF(AND(ISNUMBER($I45),$I45&lt;=TODAY()),"Levée",IF(AND(ISNUMBER($H45),$H45&lt;TODAY()),"En retard","Ouverte")))</f>
      </c>
      <c r="K45" s="21">
        <f>IF(OR(NOT(ISNUMBER($A45)),$D45=""),"",IF($J45="Levée",$I45-$A45,TODAY()-$A45))</f>
      </c>
    </row>
    <row r="46" spans="1:11" x14ac:dyDescent="0.25">
      <c r="A46" s="24"/>
      <c r="B46" s="9"/>
      <c r="C46" s="20">
        <f>IF($B46="","",IFERROR(INDEX(Parc!$B$2:$B$301,MATCH($B46,Parc!$A$2:$A$301,0)),"Réf. inconnue"))</f>
      </c>
      <c r="D46" s="9"/>
      <c r="E46" s="23"/>
      <c r="F46" s="9"/>
      <c r="G46" s="9"/>
      <c r="H46" s="24"/>
      <c r="I46" s="24"/>
      <c r="J46" s="22">
        <f>IF($D46="","",IF(AND(ISNUMBER($I46),$I46&lt;=TODAY()),"Levée",IF(AND(ISNUMBER($H46),$H46&lt;TODAY()),"En retard","Ouverte")))</f>
      </c>
      <c r="K46" s="21">
        <f>IF(OR(NOT(ISNUMBER($A46)),$D46=""),"",IF($J46="Levée",$I46-$A46,TODAY()-$A46))</f>
      </c>
    </row>
    <row r="47" spans="1:11" x14ac:dyDescent="0.25">
      <c r="A47" s="24"/>
      <c r="B47" s="9"/>
      <c r="C47" s="20">
        <f>IF($B47="","",IFERROR(INDEX(Parc!$B$2:$B$301,MATCH($B47,Parc!$A$2:$A$301,0)),"Réf. inconnue"))</f>
      </c>
      <c r="D47" s="9"/>
      <c r="E47" s="23"/>
      <c r="F47" s="9"/>
      <c r="G47" s="9"/>
      <c r="H47" s="24"/>
      <c r="I47" s="24"/>
      <c r="J47" s="22">
        <f>IF($D47="","",IF(AND(ISNUMBER($I47),$I47&lt;=TODAY()),"Levée",IF(AND(ISNUMBER($H47),$H47&lt;TODAY()),"En retard","Ouverte")))</f>
      </c>
      <c r="K47" s="21">
        <f>IF(OR(NOT(ISNUMBER($A47)),$D47=""),"",IF($J47="Levée",$I47-$A47,TODAY()-$A47))</f>
      </c>
    </row>
    <row r="48" spans="1:11" x14ac:dyDescent="0.25">
      <c r="A48" s="24"/>
      <c r="B48" s="9"/>
      <c r="C48" s="20">
        <f>IF($B48="","",IFERROR(INDEX(Parc!$B$2:$B$301,MATCH($B48,Parc!$A$2:$A$301,0)),"Réf. inconnue"))</f>
      </c>
      <c r="D48" s="9"/>
      <c r="E48" s="23"/>
      <c r="F48" s="9"/>
      <c r="G48" s="9"/>
      <c r="H48" s="24"/>
      <c r="I48" s="24"/>
      <c r="J48" s="22">
        <f>IF($D48="","",IF(AND(ISNUMBER($I48),$I48&lt;=TODAY()),"Levée",IF(AND(ISNUMBER($H48),$H48&lt;TODAY()),"En retard","Ouverte")))</f>
      </c>
      <c r="K48" s="21">
        <f>IF(OR(NOT(ISNUMBER($A48)),$D48=""),"",IF($J48="Levée",$I48-$A48,TODAY()-$A48))</f>
      </c>
    </row>
    <row r="49" spans="1:11" x14ac:dyDescent="0.25">
      <c r="A49" s="24"/>
      <c r="B49" s="9"/>
      <c r="C49" s="20">
        <f>IF($B49="","",IFERROR(INDEX(Parc!$B$2:$B$301,MATCH($B49,Parc!$A$2:$A$301,0)),"Réf. inconnue"))</f>
      </c>
      <c r="D49" s="9"/>
      <c r="E49" s="23"/>
      <c r="F49" s="9"/>
      <c r="G49" s="9"/>
      <c r="H49" s="24"/>
      <c r="I49" s="24"/>
      <c r="J49" s="22">
        <f>IF($D49="","",IF(AND(ISNUMBER($I49),$I49&lt;=TODAY()),"Levée",IF(AND(ISNUMBER($H49),$H49&lt;TODAY()),"En retard","Ouverte")))</f>
      </c>
      <c r="K49" s="21">
        <f>IF(OR(NOT(ISNUMBER($A49)),$D49=""),"",IF($J49="Levée",$I49-$A49,TODAY()-$A49))</f>
      </c>
    </row>
    <row r="50" spans="1:11" x14ac:dyDescent="0.25">
      <c r="A50" s="24"/>
      <c r="B50" s="9"/>
      <c r="C50" s="20">
        <f>IF($B50="","",IFERROR(INDEX(Parc!$B$2:$B$301,MATCH($B50,Parc!$A$2:$A$301,0)),"Réf. inconnue"))</f>
      </c>
      <c r="D50" s="9"/>
      <c r="E50" s="23"/>
      <c r="F50" s="9"/>
      <c r="G50" s="9"/>
      <c r="H50" s="24"/>
      <c r="I50" s="24"/>
      <c r="J50" s="22">
        <f>IF($D50="","",IF(AND(ISNUMBER($I50),$I50&lt;=TODAY()),"Levée",IF(AND(ISNUMBER($H50),$H50&lt;TODAY()),"En retard","Ouverte")))</f>
      </c>
      <c r="K50" s="21">
        <f>IF(OR(NOT(ISNUMBER($A50)),$D50=""),"",IF($J50="Levée",$I50-$A50,TODAY()-$A50))</f>
      </c>
    </row>
    <row r="51" spans="1:11" x14ac:dyDescent="0.25">
      <c r="A51" s="24"/>
      <c r="B51" s="9"/>
      <c r="C51" s="20">
        <f>IF($B51="","",IFERROR(INDEX(Parc!$B$2:$B$301,MATCH($B51,Parc!$A$2:$A$301,0)),"Réf. inconnue"))</f>
      </c>
      <c r="D51" s="9"/>
      <c r="E51" s="23"/>
      <c r="F51" s="9"/>
      <c r="G51" s="9"/>
      <c r="H51" s="24"/>
      <c r="I51" s="24"/>
      <c r="J51" s="22">
        <f>IF($D51="","",IF(AND(ISNUMBER($I51),$I51&lt;=TODAY()),"Levée",IF(AND(ISNUMBER($H51),$H51&lt;TODAY()),"En retard","Ouverte")))</f>
      </c>
      <c r="K51" s="21">
        <f>IF(OR(NOT(ISNUMBER($A51)),$D51=""),"",IF($J51="Levée",$I51-$A51,TODAY()-$A51))</f>
      </c>
    </row>
    <row r="52" spans="1:11" x14ac:dyDescent="0.25">
      <c r="A52" s="24"/>
      <c r="B52" s="9"/>
      <c r="C52" s="20">
        <f>IF($B52="","",IFERROR(INDEX(Parc!$B$2:$B$301,MATCH($B52,Parc!$A$2:$A$301,0)),"Réf. inconnue"))</f>
      </c>
      <c r="D52" s="9"/>
      <c r="E52" s="23"/>
      <c r="F52" s="9"/>
      <c r="G52" s="9"/>
      <c r="H52" s="24"/>
      <c r="I52" s="24"/>
      <c r="J52" s="22">
        <f>IF($D52="","",IF(AND(ISNUMBER($I52),$I52&lt;=TODAY()),"Levée",IF(AND(ISNUMBER($H52),$H52&lt;TODAY()),"En retard","Ouverte")))</f>
      </c>
      <c r="K52" s="21">
        <f>IF(OR(NOT(ISNUMBER($A52)),$D52=""),"",IF($J52="Levée",$I52-$A52,TODAY()-$A52))</f>
      </c>
    </row>
    <row r="53" spans="1:11" x14ac:dyDescent="0.25">
      <c r="A53" s="24"/>
      <c r="B53" s="9"/>
      <c r="C53" s="20">
        <f>IF($B53="","",IFERROR(INDEX(Parc!$B$2:$B$301,MATCH($B53,Parc!$A$2:$A$301,0)),"Réf. inconnue"))</f>
      </c>
      <c r="D53" s="9"/>
      <c r="E53" s="23"/>
      <c r="F53" s="9"/>
      <c r="G53" s="9"/>
      <c r="H53" s="24"/>
      <c r="I53" s="24"/>
      <c r="J53" s="22">
        <f>IF($D53="","",IF(AND(ISNUMBER($I53),$I53&lt;=TODAY()),"Levée",IF(AND(ISNUMBER($H53),$H53&lt;TODAY()),"En retard","Ouverte")))</f>
      </c>
      <c r="K53" s="21">
        <f>IF(OR(NOT(ISNUMBER($A53)),$D53=""),"",IF($J53="Levée",$I53-$A53,TODAY()-$A53))</f>
      </c>
    </row>
    <row r="54" spans="1:11" x14ac:dyDescent="0.25">
      <c r="A54" s="24"/>
      <c r="B54" s="9"/>
      <c r="C54" s="20">
        <f>IF($B54="","",IFERROR(INDEX(Parc!$B$2:$B$301,MATCH($B54,Parc!$A$2:$A$301,0)),"Réf. inconnue"))</f>
      </c>
      <c r="D54" s="9"/>
      <c r="E54" s="23"/>
      <c r="F54" s="9"/>
      <c r="G54" s="9"/>
      <c r="H54" s="24"/>
      <c r="I54" s="24"/>
      <c r="J54" s="22">
        <f>IF($D54="","",IF(AND(ISNUMBER($I54),$I54&lt;=TODAY()),"Levée",IF(AND(ISNUMBER($H54),$H54&lt;TODAY()),"En retard","Ouverte")))</f>
      </c>
      <c r="K54" s="21">
        <f>IF(OR(NOT(ISNUMBER($A54)),$D54=""),"",IF($J54="Levée",$I54-$A54,TODAY()-$A54))</f>
      </c>
    </row>
    <row r="55" spans="1:11" x14ac:dyDescent="0.25">
      <c r="A55" s="24"/>
      <c r="B55" s="9"/>
      <c r="C55" s="20">
        <f>IF($B55="","",IFERROR(INDEX(Parc!$B$2:$B$301,MATCH($B55,Parc!$A$2:$A$301,0)),"Réf. inconnue"))</f>
      </c>
      <c r="D55" s="9"/>
      <c r="E55" s="23"/>
      <c r="F55" s="9"/>
      <c r="G55" s="9"/>
      <c r="H55" s="24"/>
      <c r="I55" s="24"/>
      <c r="J55" s="22">
        <f>IF($D55="","",IF(AND(ISNUMBER($I55),$I55&lt;=TODAY()),"Levée",IF(AND(ISNUMBER($H55),$H55&lt;TODAY()),"En retard","Ouverte")))</f>
      </c>
      <c r="K55" s="21">
        <f>IF(OR(NOT(ISNUMBER($A55)),$D55=""),"",IF($J55="Levée",$I55-$A55,TODAY()-$A55))</f>
      </c>
    </row>
    <row r="56" spans="1:11" x14ac:dyDescent="0.25">
      <c r="A56" s="24"/>
      <c r="B56" s="9"/>
      <c r="C56" s="20">
        <f>IF($B56="","",IFERROR(INDEX(Parc!$B$2:$B$301,MATCH($B56,Parc!$A$2:$A$301,0)),"Réf. inconnue"))</f>
      </c>
      <c r="D56" s="9"/>
      <c r="E56" s="23"/>
      <c r="F56" s="9"/>
      <c r="G56" s="9"/>
      <c r="H56" s="24"/>
      <c r="I56" s="24"/>
      <c r="J56" s="22">
        <f>IF($D56="","",IF(AND(ISNUMBER($I56),$I56&lt;=TODAY()),"Levée",IF(AND(ISNUMBER($H56),$H56&lt;TODAY()),"En retard","Ouverte")))</f>
      </c>
      <c r="K56" s="21">
        <f>IF(OR(NOT(ISNUMBER($A56)),$D56=""),"",IF($J56="Levée",$I56-$A56,TODAY()-$A56))</f>
      </c>
    </row>
    <row r="57" spans="1:11" x14ac:dyDescent="0.25">
      <c r="A57" s="24"/>
      <c r="B57" s="9"/>
      <c r="C57" s="20">
        <f>IF($B57="","",IFERROR(INDEX(Parc!$B$2:$B$301,MATCH($B57,Parc!$A$2:$A$301,0)),"Réf. inconnue"))</f>
      </c>
      <c r="D57" s="9"/>
      <c r="E57" s="23"/>
      <c r="F57" s="9"/>
      <c r="G57" s="9"/>
      <c r="H57" s="24"/>
      <c r="I57" s="24"/>
      <c r="J57" s="22">
        <f>IF($D57="","",IF(AND(ISNUMBER($I57),$I57&lt;=TODAY()),"Levée",IF(AND(ISNUMBER($H57),$H57&lt;TODAY()),"En retard","Ouverte")))</f>
      </c>
      <c r="K57" s="21">
        <f>IF(OR(NOT(ISNUMBER($A57)),$D57=""),"",IF($J57="Levée",$I57-$A57,TODAY()-$A57))</f>
      </c>
    </row>
    <row r="58" spans="1:11" x14ac:dyDescent="0.25">
      <c r="A58" s="24"/>
      <c r="B58" s="9"/>
      <c r="C58" s="20">
        <f>IF($B58="","",IFERROR(INDEX(Parc!$B$2:$B$301,MATCH($B58,Parc!$A$2:$A$301,0)),"Réf. inconnue"))</f>
      </c>
      <c r="D58" s="9"/>
      <c r="E58" s="23"/>
      <c r="F58" s="9"/>
      <c r="G58" s="9"/>
      <c r="H58" s="24"/>
      <c r="I58" s="24"/>
      <c r="J58" s="22">
        <f>IF($D58="","",IF(AND(ISNUMBER($I58),$I58&lt;=TODAY()),"Levée",IF(AND(ISNUMBER($H58),$H58&lt;TODAY()),"En retard","Ouverte")))</f>
      </c>
      <c r="K58" s="21">
        <f>IF(OR(NOT(ISNUMBER($A58)),$D58=""),"",IF($J58="Levée",$I58-$A58,TODAY()-$A58))</f>
      </c>
    </row>
    <row r="59" spans="1:11" x14ac:dyDescent="0.25">
      <c r="A59" s="24"/>
      <c r="B59" s="9"/>
      <c r="C59" s="20">
        <f>IF($B59="","",IFERROR(INDEX(Parc!$B$2:$B$301,MATCH($B59,Parc!$A$2:$A$301,0)),"Réf. inconnue"))</f>
      </c>
      <c r="D59" s="9"/>
      <c r="E59" s="23"/>
      <c r="F59" s="9"/>
      <c r="G59" s="9"/>
      <c r="H59" s="24"/>
      <c r="I59" s="24"/>
      <c r="J59" s="22">
        <f>IF($D59="","",IF(AND(ISNUMBER($I59),$I59&lt;=TODAY()),"Levée",IF(AND(ISNUMBER($H59),$H59&lt;TODAY()),"En retard","Ouverte")))</f>
      </c>
      <c r="K59" s="21">
        <f>IF(OR(NOT(ISNUMBER($A59)),$D59=""),"",IF($J59="Levée",$I59-$A59,TODAY()-$A59))</f>
      </c>
    </row>
    <row r="60" spans="1:11" x14ac:dyDescent="0.25">
      <c r="A60" s="24"/>
      <c r="B60" s="9"/>
      <c r="C60" s="20">
        <f>IF($B60="","",IFERROR(INDEX(Parc!$B$2:$B$301,MATCH($B60,Parc!$A$2:$A$301,0)),"Réf. inconnue"))</f>
      </c>
      <c r="D60" s="9"/>
      <c r="E60" s="23"/>
      <c r="F60" s="9"/>
      <c r="G60" s="9"/>
      <c r="H60" s="24"/>
      <c r="I60" s="24"/>
      <c r="J60" s="22">
        <f>IF($D60="","",IF(AND(ISNUMBER($I60),$I60&lt;=TODAY()),"Levée",IF(AND(ISNUMBER($H60),$H60&lt;TODAY()),"En retard","Ouverte")))</f>
      </c>
      <c r="K60" s="21">
        <f>IF(OR(NOT(ISNUMBER($A60)),$D60=""),"",IF($J60="Levée",$I60-$A60,TODAY()-$A60))</f>
      </c>
    </row>
    <row r="61" spans="1:11" x14ac:dyDescent="0.25">
      <c r="A61" s="24"/>
      <c r="B61" s="9"/>
      <c r="C61" s="20">
        <f>IF($B61="","",IFERROR(INDEX(Parc!$B$2:$B$301,MATCH($B61,Parc!$A$2:$A$301,0)),"Réf. inconnue"))</f>
      </c>
      <c r="D61" s="9"/>
      <c r="E61" s="23"/>
      <c r="F61" s="9"/>
      <c r="G61" s="9"/>
      <c r="H61" s="24"/>
      <c r="I61" s="24"/>
      <c r="J61" s="22">
        <f>IF($D61="","",IF(AND(ISNUMBER($I61),$I61&lt;=TODAY()),"Levée",IF(AND(ISNUMBER($H61),$H61&lt;TODAY()),"En retard","Ouverte")))</f>
      </c>
      <c r="K61" s="21">
        <f>IF(OR(NOT(ISNUMBER($A61)),$D61=""),"",IF($J61="Levée",$I61-$A61,TODAY()-$A61))</f>
      </c>
    </row>
    <row r="62" spans="1:11" x14ac:dyDescent="0.25">
      <c r="A62" s="24"/>
      <c r="B62" s="9"/>
      <c r="C62" s="20">
        <f>IF($B62="","",IFERROR(INDEX(Parc!$B$2:$B$301,MATCH($B62,Parc!$A$2:$A$301,0)),"Réf. inconnue"))</f>
      </c>
      <c r="D62" s="9"/>
      <c r="E62" s="23"/>
      <c r="F62" s="9"/>
      <c r="G62" s="9"/>
      <c r="H62" s="24"/>
      <c r="I62" s="24"/>
      <c r="J62" s="22">
        <f>IF($D62="","",IF(AND(ISNUMBER($I62),$I62&lt;=TODAY()),"Levée",IF(AND(ISNUMBER($H62),$H62&lt;TODAY()),"En retard","Ouverte")))</f>
      </c>
      <c r="K62" s="21">
        <f>IF(OR(NOT(ISNUMBER($A62)),$D62=""),"",IF($J62="Levée",$I62-$A62,TODAY()-$A62))</f>
      </c>
    </row>
    <row r="63" spans="1:11" x14ac:dyDescent="0.25">
      <c r="A63" s="24"/>
      <c r="B63" s="9"/>
      <c r="C63" s="20">
        <f>IF($B63="","",IFERROR(INDEX(Parc!$B$2:$B$301,MATCH($B63,Parc!$A$2:$A$301,0)),"Réf. inconnue"))</f>
      </c>
      <c r="D63" s="9"/>
      <c r="E63" s="23"/>
      <c r="F63" s="9"/>
      <c r="G63" s="9"/>
      <c r="H63" s="24"/>
      <c r="I63" s="24"/>
      <c r="J63" s="22">
        <f>IF($D63="","",IF(AND(ISNUMBER($I63),$I63&lt;=TODAY()),"Levée",IF(AND(ISNUMBER($H63),$H63&lt;TODAY()),"En retard","Ouverte")))</f>
      </c>
      <c r="K63" s="21">
        <f>IF(OR(NOT(ISNUMBER($A63)),$D63=""),"",IF($J63="Levée",$I63-$A63,TODAY()-$A63))</f>
      </c>
    </row>
    <row r="64" spans="1:11" x14ac:dyDescent="0.25">
      <c r="A64" s="24"/>
      <c r="B64" s="9"/>
      <c r="C64" s="20">
        <f>IF($B64="","",IFERROR(INDEX(Parc!$B$2:$B$301,MATCH($B64,Parc!$A$2:$A$301,0)),"Réf. inconnue"))</f>
      </c>
      <c r="D64" s="9"/>
      <c r="E64" s="23"/>
      <c r="F64" s="9"/>
      <c r="G64" s="9"/>
      <c r="H64" s="24"/>
      <c r="I64" s="24"/>
      <c r="J64" s="22">
        <f>IF($D64="","",IF(AND(ISNUMBER($I64),$I64&lt;=TODAY()),"Levée",IF(AND(ISNUMBER($H64),$H64&lt;TODAY()),"En retard","Ouverte")))</f>
      </c>
      <c r="K64" s="21">
        <f>IF(OR(NOT(ISNUMBER($A64)),$D64=""),"",IF($J64="Levée",$I64-$A64,TODAY()-$A64))</f>
      </c>
    </row>
    <row r="65" spans="1:11" x14ac:dyDescent="0.25">
      <c r="A65" s="24"/>
      <c r="B65" s="9"/>
      <c r="C65" s="20">
        <f>IF($B65="","",IFERROR(INDEX(Parc!$B$2:$B$301,MATCH($B65,Parc!$A$2:$A$301,0)),"Réf. inconnue"))</f>
      </c>
      <c r="D65" s="9"/>
      <c r="E65" s="23"/>
      <c r="F65" s="9"/>
      <c r="G65" s="9"/>
      <c r="H65" s="24"/>
      <c r="I65" s="24"/>
      <c r="J65" s="22">
        <f>IF($D65="","",IF(AND(ISNUMBER($I65),$I65&lt;=TODAY()),"Levée",IF(AND(ISNUMBER($H65),$H65&lt;TODAY()),"En retard","Ouverte")))</f>
      </c>
      <c r="K65" s="21">
        <f>IF(OR(NOT(ISNUMBER($A65)),$D65=""),"",IF($J65="Levée",$I65-$A65,TODAY()-$A65))</f>
      </c>
    </row>
    <row r="66" spans="1:11" x14ac:dyDescent="0.25">
      <c r="A66" s="24"/>
      <c r="B66" s="9"/>
      <c r="C66" s="20">
        <f>IF($B66="","",IFERROR(INDEX(Parc!$B$2:$B$301,MATCH($B66,Parc!$A$2:$A$301,0)),"Réf. inconnue"))</f>
      </c>
      <c r="D66" s="9"/>
      <c r="E66" s="23"/>
      <c r="F66" s="9"/>
      <c r="G66" s="9"/>
      <c r="H66" s="24"/>
      <c r="I66" s="24"/>
      <c r="J66" s="22">
        <f>IF($D66="","",IF(AND(ISNUMBER($I66),$I66&lt;=TODAY()),"Levée",IF(AND(ISNUMBER($H66),$H66&lt;TODAY()),"En retard","Ouverte")))</f>
      </c>
      <c r="K66" s="21">
        <f>IF(OR(NOT(ISNUMBER($A66)),$D66=""),"",IF($J66="Levée",$I66-$A66,TODAY()-$A66))</f>
      </c>
    </row>
    <row r="67" spans="1:11" x14ac:dyDescent="0.25">
      <c r="A67" s="24"/>
      <c r="B67" s="9"/>
      <c r="C67" s="20">
        <f>IF($B67="","",IFERROR(INDEX(Parc!$B$2:$B$301,MATCH($B67,Parc!$A$2:$A$301,0)),"Réf. inconnue"))</f>
      </c>
      <c r="D67" s="9"/>
      <c r="E67" s="23"/>
      <c r="F67" s="9"/>
      <c r="G67" s="9"/>
      <c r="H67" s="24"/>
      <c r="I67" s="24"/>
      <c r="J67" s="22">
        <f>IF($D67="","",IF(AND(ISNUMBER($I67),$I67&lt;=TODAY()),"Levée",IF(AND(ISNUMBER($H67),$H67&lt;TODAY()),"En retard","Ouverte")))</f>
      </c>
      <c r="K67" s="21">
        <f>IF(OR(NOT(ISNUMBER($A67)),$D67=""),"",IF($J67="Levée",$I67-$A67,TODAY()-$A67))</f>
      </c>
    </row>
    <row r="68" spans="1:11" x14ac:dyDescent="0.25">
      <c r="A68" s="24"/>
      <c r="B68" s="9"/>
      <c r="C68" s="20">
        <f>IF($B68="","",IFERROR(INDEX(Parc!$B$2:$B$301,MATCH($B68,Parc!$A$2:$A$301,0)),"Réf. inconnue"))</f>
      </c>
      <c r="D68" s="9"/>
      <c r="E68" s="23"/>
      <c r="F68" s="9"/>
      <c r="G68" s="9"/>
      <c r="H68" s="24"/>
      <c r="I68" s="24"/>
      <c r="J68" s="22">
        <f>IF($D68="","",IF(AND(ISNUMBER($I68),$I68&lt;=TODAY()),"Levée",IF(AND(ISNUMBER($H68),$H68&lt;TODAY()),"En retard","Ouverte")))</f>
      </c>
      <c r="K68" s="21">
        <f>IF(OR(NOT(ISNUMBER($A68)),$D68=""),"",IF($J68="Levée",$I68-$A68,TODAY()-$A68))</f>
      </c>
    </row>
    <row r="69" spans="1:11" x14ac:dyDescent="0.25">
      <c r="A69" s="24"/>
      <c r="B69" s="9"/>
      <c r="C69" s="20">
        <f>IF($B69="","",IFERROR(INDEX(Parc!$B$2:$B$301,MATCH($B69,Parc!$A$2:$A$301,0)),"Réf. inconnue"))</f>
      </c>
      <c r="D69" s="9"/>
      <c r="E69" s="23"/>
      <c r="F69" s="9"/>
      <c r="G69" s="9"/>
      <c r="H69" s="24"/>
      <c r="I69" s="24"/>
      <c r="J69" s="22">
        <f>IF($D69="","",IF(AND(ISNUMBER($I69),$I69&lt;=TODAY()),"Levée",IF(AND(ISNUMBER($H69),$H69&lt;TODAY()),"En retard","Ouverte")))</f>
      </c>
      <c r="K69" s="21">
        <f>IF(OR(NOT(ISNUMBER($A69)),$D69=""),"",IF($J69="Levée",$I69-$A69,TODAY()-$A69))</f>
      </c>
    </row>
    <row r="70" spans="1:11" x14ac:dyDescent="0.25">
      <c r="A70" s="24"/>
      <c r="B70" s="9"/>
      <c r="C70" s="20">
        <f>IF($B70="","",IFERROR(INDEX(Parc!$B$2:$B$301,MATCH($B70,Parc!$A$2:$A$301,0)),"Réf. inconnue"))</f>
      </c>
      <c r="D70" s="9"/>
      <c r="E70" s="23"/>
      <c r="F70" s="9"/>
      <c r="G70" s="9"/>
      <c r="H70" s="24"/>
      <c r="I70" s="24"/>
      <c r="J70" s="22">
        <f>IF($D70="","",IF(AND(ISNUMBER($I70),$I70&lt;=TODAY()),"Levée",IF(AND(ISNUMBER($H70),$H70&lt;TODAY()),"En retard","Ouverte")))</f>
      </c>
      <c r="K70" s="21">
        <f>IF(OR(NOT(ISNUMBER($A70)),$D70=""),"",IF($J70="Levée",$I70-$A70,TODAY()-$A70))</f>
      </c>
    </row>
    <row r="71" spans="1:11" x14ac:dyDescent="0.25">
      <c r="A71" s="24"/>
      <c r="B71" s="9"/>
      <c r="C71" s="20">
        <f>IF($B71="","",IFERROR(INDEX(Parc!$B$2:$B$301,MATCH($B71,Parc!$A$2:$A$301,0)),"Réf. inconnue"))</f>
      </c>
      <c r="D71" s="9"/>
      <c r="E71" s="23"/>
      <c r="F71" s="9"/>
      <c r="G71" s="9"/>
      <c r="H71" s="24"/>
      <c r="I71" s="24"/>
      <c r="J71" s="22">
        <f>IF($D71="","",IF(AND(ISNUMBER($I71),$I71&lt;=TODAY()),"Levée",IF(AND(ISNUMBER($H71),$H71&lt;TODAY()),"En retard","Ouverte")))</f>
      </c>
      <c r="K71" s="21">
        <f>IF(OR(NOT(ISNUMBER($A71)),$D71=""),"",IF($J71="Levée",$I71-$A71,TODAY()-$A71))</f>
      </c>
    </row>
    <row r="72" spans="1:11" x14ac:dyDescent="0.25">
      <c r="A72" s="24"/>
      <c r="B72" s="9"/>
      <c r="C72" s="20">
        <f>IF($B72="","",IFERROR(INDEX(Parc!$B$2:$B$301,MATCH($B72,Parc!$A$2:$A$301,0)),"Réf. inconnue"))</f>
      </c>
      <c r="D72" s="9"/>
      <c r="E72" s="23"/>
      <c r="F72" s="9"/>
      <c r="G72" s="9"/>
      <c r="H72" s="24"/>
      <c r="I72" s="24"/>
      <c r="J72" s="22">
        <f>IF($D72="","",IF(AND(ISNUMBER($I72),$I72&lt;=TODAY()),"Levée",IF(AND(ISNUMBER($H72),$H72&lt;TODAY()),"En retard","Ouverte")))</f>
      </c>
      <c r="K72" s="21">
        <f>IF(OR(NOT(ISNUMBER($A72)),$D72=""),"",IF($J72="Levée",$I72-$A72,TODAY()-$A72))</f>
      </c>
    </row>
    <row r="73" spans="1:11" x14ac:dyDescent="0.25">
      <c r="A73" s="24"/>
      <c r="B73" s="9"/>
      <c r="C73" s="20">
        <f>IF($B73="","",IFERROR(INDEX(Parc!$B$2:$B$301,MATCH($B73,Parc!$A$2:$A$301,0)),"Réf. inconnue"))</f>
      </c>
      <c r="D73" s="9"/>
      <c r="E73" s="23"/>
      <c r="F73" s="9"/>
      <c r="G73" s="9"/>
      <c r="H73" s="24"/>
      <c r="I73" s="24"/>
      <c r="J73" s="22">
        <f>IF($D73="","",IF(AND(ISNUMBER($I73),$I73&lt;=TODAY()),"Levée",IF(AND(ISNUMBER($H73),$H73&lt;TODAY()),"En retard","Ouverte")))</f>
      </c>
      <c r="K73" s="21">
        <f>IF(OR(NOT(ISNUMBER($A73)),$D73=""),"",IF($J73="Levée",$I73-$A73,TODAY()-$A73))</f>
      </c>
    </row>
    <row r="74" spans="1:11" x14ac:dyDescent="0.25">
      <c r="A74" s="24"/>
      <c r="B74" s="9"/>
      <c r="C74" s="20">
        <f>IF($B74="","",IFERROR(INDEX(Parc!$B$2:$B$301,MATCH($B74,Parc!$A$2:$A$301,0)),"Réf. inconnue"))</f>
      </c>
      <c r="D74" s="9"/>
      <c r="E74" s="23"/>
      <c r="F74" s="9"/>
      <c r="G74" s="9"/>
      <c r="H74" s="24"/>
      <c r="I74" s="24"/>
      <c r="J74" s="22">
        <f>IF($D74="","",IF(AND(ISNUMBER($I74),$I74&lt;=TODAY()),"Levée",IF(AND(ISNUMBER($H74),$H74&lt;TODAY()),"En retard","Ouverte")))</f>
      </c>
      <c r="K74" s="21">
        <f>IF(OR(NOT(ISNUMBER($A74)),$D74=""),"",IF($J74="Levée",$I74-$A74,TODAY()-$A74))</f>
      </c>
    </row>
    <row r="75" spans="1:11" x14ac:dyDescent="0.25">
      <c r="A75" s="24"/>
      <c r="B75" s="9"/>
      <c r="C75" s="20">
        <f>IF($B75="","",IFERROR(INDEX(Parc!$B$2:$B$301,MATCH($B75,Parc!$A$2:$A$301,0)),"Réf. inconnue"))</f>
      </c>
      <c r="D75" s="9"/>
      <c r="E75" s="23"/>
      <c r="F75" s="9"/>
      <c r="G75" s="9"/>
      <c r="H75" s="24"/>
      <c r="I75" s="24"/>
      <c r="J75" s="22">
        <f>IF($D75="","",IF(AND(ISNUMBER($I75),$I75&lt;=TODAY()),"Levée",IF(AND(ISNUMBER($H75),$H75&lt;TODAY()),"En retard","Ouverte")))</f>
      </c>
      <c r="K75" s="21">
        <f>IF(OR(NOT(ISNUMBER($A75)),$D75=""),"",IF($J75="Levée",$I75-$A75,TODAY()-$A75))</f>
      </c>
    </row>
    <row r="76" spans="1:11" x14ac:dyDescent="0.25">
      <c r="A76" s="24"/>
      <c r="B76" s="9"/>
      <c r="C76" s="20">
        <f>IF($B76="","",IFERROR(INDEX(Parc!$B$2:$B$301,MATCH($B76,Parc!$A$2:$A$301,0)),"Réf. inconnue"))</f>
      </c>
      <c r="D76" s="9"/>
      <c r="E76" s="23"/>
      <c r="F76" s="9"/>
      <c r="G76" s="9"/>
      <c r="H76" s="24"/>
      <c r="I76" s="24"/>
      <c r="J76" s="22">
        <f>IF($D76="","",IF(AND(ISNUMBER($I76),$I76&lt;=TODAY()),"Levée",IF(AND(ISNUMBER($H76),$H76&lt;TODAY()),"En retard","Ouverte")))</f>
      </c>
      <c r="K76" s="21">
        <f>IF(OR(NOT(ISNUMBER($A76)),$D76=""),"",IF($J76="Levée",$I76-$A76,TODAY()-$A76))</f>
      </c>
    </row>
    <row r="77" spans="1:11" x14ac:dyDescent="0.25">
      <c r="A77" s="24"/>
      <c r="B77" s="9"/>
      <c r="C77" s="20">
        <f>IF($B77="","",IFERROR(INDEX(Parc!$B$2:$B$301,MATCH($B77,Parc!$A$2:$A$301,0)),"Réf. inconnue"))</f>
      </c>
      <c r="D77" s="9"/>
      <c r="E77" s="23"/>
      <c r="F77" s="9"/>
      <c r="G77" s="9"/>
      <c r="H77" s="24"/>
      <c r="I77" s="24"/>
      <c r="J77" s="22">
        <f>IF($D77="","",IF(AND(ISNUMBER($I77),$I77&lt;=TODAY()),"Levée",IF(AND(ISNUMBER($H77),$H77&lt;TODAY()),"En retard","Ouverte")))</f>
      </c>
      <c r="K77" s="21">
        <f>IF(OR(NOT(ISNUMBER($A77)),$D77=""),"",IF($J77="Levée",$I77-$A77,TODAY()-$A77))</f>
      </c>
    </row>
    <row r="78" spans="1:11" x14ac:dyDescent="0.25">
      <c r="A78" s="24"/>
      <c r="B78" s="9"/>
      <c r="C78" s="20">
        <f>IF($B78="","",IFERROR(INDEX(Parc!$B$2:$B$301,MATCH($B78,Parc!$A$2:$A$301,0)),"Réf. inconnue"))</f>
      </c>
      <c r="D78" s="9"/>
      <c r="E78" s="23"/>
      <c r="F78" s="9"/>
      <c r="G78" s="9"/>
      <c r="H78" s="24"/>
      <c r="I78" s="24"/>
      <c r="J78" s="22">
        <f>IF($D78="","",IF(AND(ISNUMBER($I78),$I78&lt;=TODAY()),"Levée",IF(AND(ISNUMBER($H78),$H78&lt;TODAY()),"En retard","Ouverte")))</f>
      </c>
      <c r="K78" s="21">
        <f>IF(OR(NOT(ISNUMBER($A78)),$D78=""),"",IF($J78="Levée",$I78-$A78,TODAY()-$A78))</f>
      </c>
    </row>
    <row r="79" spans="1:11" x14ac:dyDescent="0.25">
      <c r="A79" s="24"/>
      <c r="B79" s="9"/>
      <c r="C79" s="20">
        <f>IF($B79="","",IFERROR(INDEX(Parc!$B$2:$B$301,MATCH($B79,Parc!$A$2:$A$301,0)),"Réf. inconnue"))</f>
      </c>
      <c r="D79" s="9"/>
      <c r="E79" s="23"/>
      <c r="F79" s="9"/>
      <c r="G79" s="9"/>
      <c r="H79" s="24"/>
      <c r="I79" s="24"/>
      <c r="J79" s="22">
        <f>IF($D79="","",IF(AND(ISNUMBER($I79),$I79&lt;=TODAY()),"Levée",IF(AND(ISNUMBER($H79),$H79&lt;TODAY()),"En retard","Ouverte")))</f>
      </c>
      <c r="K79" s="21">
        <f>IF(OR(NOT(ISNUMBER($A79)),$D79=""),"",IF($J79="Levée",$I79-$A79,TODAY()-$A79))</f>
      </c>
    </row>
    <row r="80" spans="1:11" x14ac:dyDescent="0.25">
      <c r="A80" s="24"/>
      <c r="B80" s="9"/>
      <c r="C80" s="20">
        <f>IF($B80="","",IFERROR(INDEX(Parc!$B$2:$B$301,MATCH($B80,Parc!$A$2:$A$301,0)),"Réf. inconnue"))</f>
      </c>
      <c r="D80" s="9"/>
      <c r="E80" s="23"/>
      <c r="F80" s="9"/>
      <c r="G80" s="9"/>
      <c r="H80" s="24"/>
      <c r="I80" s="24"/>
      <c r="J80" s="22">
        <f>IF($D80="","",IF(AND(ISNUMBER($I80),$I80&lt;=TODAY()),"Levée",IF(AND(ISNUMBER($H80),$H80&lt;TODAY()),"En retard","Ouverte")))</f>
      </c>
      <c r="K80" s="21">
        <f>IF(OR(NOT(ISNUMBER($A80)),$D80=""),"",IF($J80="Levée",$I80-$A80,TODAY()-$A80))</f>
      </c>
    </row>
    <row r="81" spans="1:11" x14ac:dyDescent="0.25">
      <c r="A81" s="24"/>
      <c r="B81" s="9"/>
      <c r="C81" s="20">
        <f>IF($B81="","",IFERROR(INDEX(Parc!$B$2:$B$301,MATCH($B81,Parc!$A$2:$A$301,0)),"Réf. inconnue"))</f>
      </c>
      <c r="D81" s="9"/>
      <c r="E81" s="23"/>
      <c r="F81" s="9"/>
      <c r="G81" s="9"/>
      <c r="H81" s="24"/>
      <c r="I81" s="24"/>
      <c r="J81" s="22">
        <f>IF($D81="","",IF(AND(ISNUMBER($I81),$I81&lt;=TODAY()),"Levée",IF(AND(ISNUMBER($H81),$H81&lt;TODAY()),"En retard","Ouverte")))</f>
      </c>
      <c r="K81" s="21">
        <f>IF(OR(NOT(ISNUMBER($A81)),$D81=""),"",IF($J81="Levée",$I81-$A81,TODAY()-$A81))</f>
      </c>
    </row>
    <row r="82" spans="1:11" x14ac:dyDescent="0.25">
      <c r="A82" s="24"/>
      <c r="B82" s="9"/>
      <c r="C82" s="20">
        <f>IF($B82="","",IFERROR(INDEX(Parc!$B$2:$B$301,MATCH($B82,Parc!$A$2:$A$301,0)),"Réf. inconnue"))</f>
      </c>
      <c r="D82" s="9"/>
      <c r="E82" s="23"/>
      <c r="F82" s="9"/>
      <c r="G82" s="9"/>
      <c r="H82" s="24"/>
      <c r="I82" s="24"/>
      <c r="J82" s="22">
        <f>IF($D82="","",IF(AND(ISNUMBER($I82),$I82&lt;=TODAY()),"Levée",IF(AND(ISNUMBER($H82),$H82&lt;TODAY()),"En retard","Ouverte")))</f>
      </c>
      <c r="K82" s="21">
        <f>IF(OR(NOT(ISNUMBER($A82)),$D82=""),"",IF($J82="Levée",$I82-$A82,TODAY()-$A82))</f>
      </c>
    </row>
    <row r="83" spans="1:11" x14ac:dyDescent="0.25">
      <c r="A83" s="24"/>
      <c r="B83" s="9"/>
      <c r="C83" s="20">
        <f>IF($B83="","",IFERROR(INDEX(Parc!$B$2:$B$301,MATCH($B83,Parc!$A$2:$A$301,0)),"Réf. inconnue"))</f>
      </c>
      <c r="D83" s="9"/>
      <c r="E83" s="23"/>
      <c r="F83" s="9"/>
      <c r="G83" s="9"/>
      <c r="H83" s="24"/>
      <c r="I83" s="24"/>
      <c r="J83" s="22">
        <f>IF($D83="","",IF(AND(ISNUMBER($I83),$I83&lt;=TODAY()),"Levée",IF(AND(ISNUMBER($H83),$H83&lt;TODAY()),"En retard","Ouverte")))</f>
      </c>
      <c r="K83" s="21">
        <f>IF(OR(NOT(ISNUMBER($A83)),$D83=""),"",IF($J83="Levée",$I83-$A83,TODAY()-$A83))</f>
      </c>
    </row>
    <row r="84" spans="1:11" x14ac:dyDescent="0.25">
      <c r="A84" s="24"/>
      <c r="B84" s="9"/>
      <c r="C84" s="20">
        <f>IF($B84="","",IFERROR(INDEX(Parc!$B$2:$B$301,MATCH($B84,Parc!$A$2:$A$301,0)),"Réf. inconnue"))</f>
      </c>
      <c r="D84" s="9"/>
      <c r="E84" s="23"/>
      <c r="F84" s="9"/>
      <c r="G84" s="9"/>
      <c r="H84" s="24"/>
      <c r="I84" s="24"/>
      <c r="J84" s="22">
        <f>IF($D84="","",IF(AND(ISNUMBER($I84),$I84&lt;=TODAY()),"Levée",IF(AND(ISNUMBER($H84),$H84&lt;TODAY()),"En retard","Ouverte")))</f>
      </c>
      <c r="K84" s="21">
        <f>IF(OR(NOT(ISNUMBER($A84)),$D84=""),"",IF($J84="Levée",$I84-$A84,TODAY()-$A84))</f>
      </c>
    </row>
    <row r="85" spans="1:11" x14ac:dyDescent="0.25">
      <c r="A85" s="24"/>
      <c r="B85" s="9"/>
      <c r="C85" s="20">
        <f>IF($B85="","",IFERROR(INDEX(Parc!$B$2:$B$301,MATCH($B85,Parc!$A$2:$A$301,0)),"Réf. inconnue"))</f>
      </c>
      <c r="D85" s="9"/>
      <c r="E85" s="23"/>
      <c r="F85" s="9"/>
      <c r="G85" s="9"/>
      <c r="H85" s="24"/>
      <c r="I85" s="24"/>
      <c r="J85" s="22">
        <f>IF($D85="","",IF(AND(ISNUMBER($I85),$I85&lt;=TODAY()),"Levée",IF(AND(ISNUMBER($H85),$H85&lt;TODAY()),"En retard","Ouverte")))</f>
      </c>
      <c r="K85" s="21">
        <f>IF(OR(NOT(ISNUMBER($A85)),$D85=""),"",IF($J85="Levée",$I85-$A85,TODAY()-$A85))</f>
      </c>
    </row>
    <row r="86" spans="1:11" x14ac:dyDescent="0.25">
      <c r="A86" s="24"/>
      <c r="B86" s="9"/>
      <c r="C86" s="20">
        <f>IF($B86="","",IFERROR(INDEX(Parc!$B$2:$B$301,MATCH($B86,Parc!$A$2:$A$301,0)),"Réf. inconnue"))</f>
      </c>
      <c r="D86" s="9"/>
      <c r="E86" s="23"/>
      <c r="F86" s="9"/>
      <c r="G86" s="9"/>
      <c r="H86" s="24"/>
      <c r="I86" s="24"/>
      <c r="J86" s="22">
        <f>IF($D86="","",IF(AND(ISNUMBER($I86),$I86&lt;=TODAY()),"Levée",IF(AND(ISNUMBER($H86),$H86&lt;TODAY()),"En retard","Ouverte")))</f>
      </c>
      <c r="K86" s="21">
        <f>IF(OR(NOT(ISNUMBER($A86)),$D86=""),"",IF($J86="Levée",$I86-$A86,TODAY()-$A86))</f>
      </c>
    </row>
    <row r="87" spans="1:11" x14ac:dyDescent="0.25">
      <c r="A87" s="24"/>
      <c r="B87" s="9"/>
      <c r="C87" s="20">
        <f>IF($B87="","",IFERROR(INDEX(Parc!$B$2:$B$301,MATCH($B87,Parc!$A$2:$A$301,0)),"Réf. inconnue"))</f>
      </c>
      <c r="D87" s="9"/>
      <c r="E87" s="23"/>
      <c r="F87" s="9"/>
      <c r="G87" s="9"/>
      <c r="H87" s="24"/>
      <c r="I87" s="24"/>
      <c r="J87" s="22">
        <f>IF($D87="","",IF(AND(ISNUMBER($I87),$I87&lt;=TODAY()),"Levée",IF(AND(ISNUMBER($H87),$H87&lt;TODAY()),"En retard","Ouverte")))</f>
      </c>
      <c r="K87" s="21">
        <f>IF(OR(NOT(ISNUMBER($A87)),$D87=""),"",IF($J87="Levée",$I87-$A87,TODAY()-$A87))</f>
      </c>
    </row>
    <row r="88" spans="1:11" x14ac:dyDescent="0.25">
      <c r="A88" s="24"/>
      <c r="B88" s="9"/>
      <c r="C88" s="20">
        <f>IF($B88="","",IFERROR(INDEX(Parc!$B$2:$B$301,MATCH($B88,Parc!$A$2:$A$301,0)),"Réf. inconnue"))</f>
      </c>
      <c r="D88" s="9"/>
      <c r="E88" s="23"/>
      <c r="F88" s="9"/>
      <c r="G88" s="9"/>
      <c r="H88" s="24"/>
      <c r="I88" s="24"/>
      <c r="J88" s="22">
        <f>IF($D88="","",IF(AND(ISNUMBER($I88),$I88&lt;=TODAY()),"Levée",IF(AND(ISNUMBER($H88),$H88&lt;TODAY()),"En retard","Ouverte")))</f>
      </c>
      <c r="K88" s="21">
        <f>IF(OR(NOT(ISNUMBER($A88)),$D88=""),"",IF($J88="Levée",$I88-$A88,TODAY()-$A88))</f>
      </c>
    </row>
    <row r="89" spans="1:11" x14ac:dyDescent="0.25">
      <c r="A89" s="24"/>
      <c r="B89" s="9"/>
      <c r="C89" s="20">
        <f>IF($B89="","",IFERROR(INDEX(Parc!$B$2:$B$301,MATCH($B89,Parc!$A$2:$A$301,0)),"Réf. inconnue"))</f>
      </c>
      <c r="D89" s="9"/>
      <c r="E89" s="23"/>
      <c r="F89" s="9"/>
      <c r="G89" s="9"/>
      <c r="H89" s="24"/>
      <c r="I89" s="24"/>
      <c r="J89" s="22">
        <f>IF($D89="","",IF(AND(ISNUMBER($I89),$I89&lt;=TODAY()),"Levée",IF(AND(ISNUMBER($H89),$H89&lt;TODAY()),"En retard","Ouverte")))</f>
      </c>
      <c r="K89" s="21">
        <f>IF(OR(NOT(ISNUMBER($A89)),$D89=""),"",IF($J89="Levée",$I89-$A89,TODAY()-$A89))</f>
      </c>
    </row>
    <row r="90" spans="1:11" x14ac:dyDescent="0.25">
      <c r="A90" s="24"/>
      <c r="B90" s="9"/>
      <c r="C90" s="20">
        <f>IF($B90="","",IFERROR(INDEX(Parc!$B$2:$B$301,MATCH($B90,Parc!$A$2:$A$301,0)),"Réf. inconnue"))</f>
      </c>
      <c r="D90" s="9"/>
      <c r="E90" s="23"/>
      <c r="F90" s="9"/>
      <c r="G90" s="9"/>
      <c r="H90" s="24"/>
      <c r="I90" s="24"/>
      <c r="J90" s="22">
        <f>IF($D90="","",IF(AND(ISNUMBER($I90),$I90&lt;=TODAY()),"Levée",IF(AND(ISNUMBER($H90),$H90&lt;TODAY()),"En retard","Ouverte")))</f>
      </c>
      <c r="K90" s="21">
        <f>IF(OR(NOT(ISNUMBER($A90)),$D90=""),"",IF($J90="Levée",$I90-$A90,TODAY()-$A90))</f>
      </c>
    </row>
    <row r="91" spans="1:11" x14ac:dyDescent="0.25">
      <c r="A91" s="24"/>
      <c r="B91" s="9"/>
      <c r="C91" s="20">
        <f>IF($B91="","",IFERROR(INDEX(Parc!$B$2:$B$301,MATCH($B91,Parc!$A$2:$A$301,0)),"Réf. inconnue"))</f>
      </c>
      <c r="D91" s="9"/>
      <c r="E91" s="23"/>
      <c r="F91" s="9"/>
      <c r="G91" s="9"/>
      <c r="H91" s="24"/>
      <c r="I91" s="24"/>
      <c r="J91" s="22">
        <f>IF($D91="","",IF(AND(ISNUMBER($I91),$I91&lt;=TODAY()),"Levée",IF(AND(ISNUMBER($H91),$H91&lt;TODAY()),"En retard","Ouverte")))</f>
      </c>
      <c r="K91" s="21">
        <f>IF(OR(NOT(ISNUMBER($A91)),$D91=""),"",IF($J91="Levée",$I91-$A91,TODAY()-$A91))</f>
      </c>
    </row>
    <row r="92" spans="1:11" x14ac:dyDescent="0.25">
      <c r="A92" s="24"/>
      <c r="B92" s="9"/>
      <c r="C92" s="20">
        <f>IF($B92="","",IFERROR(INDEX(Parc!$B$2:$B$301,MATCH($B92,Parc!$A$2:$A$301,0)),"Réf. inconnue"))</f>
      </c>
      <c r="D92" s="9"/>
      <c r="E92" s="23"/>
      <c r="F92" s="9"/>
      <c r="G92" s="9"/>
      <c r="H92" s="24"/>
      <c r="I92" s="24"/>
      <c r="J92" s="22">
        <f>IF($D92="","",IF(AND(ISNUMBER($I92),$I92&lt;=TODAY()),"Levée",IF(AND(ISNUMBER($H92),$H92&lt;TODAY()),"En retard","Ouverte")))</f>
      </c>
      <c r="K92" s="21">
        <f>IF(OR(NOT(ISNUMBER($A92)),$D92=""),"",IF($J92="Levée",$I92-$A92,TODAY()-$A92))</f>
      </c>
    </row>
    <row r="93" spans="1:11" x14ac:dyDescent="0.25">
      <c r="A93" s="24"/>
      <c r="B93" s="9"/>
      <c r="C93" s="20">
        <f>IF($B93="","",IFERROR(INDEX(Parc!$B$2:$B$301,MATCH($B93,Parc!$A$2:$A$301,0)),"Réf. inconnue"))</f>
      </c>
      <c r="D93" s="9"/>
      <c r="E93" s="23"/>
      <c r="F93" s="9"/>
      <c r="G93" s="9"/>
      <c r="H93" s="24"/>
      <c r="I93" s="24"/>
      <c r="J93" s="22">
        <f>IF($D93="","",IF(AND(ISNUMBER($I93),$I93&lt;=TODAY()),"Levée",IF(AND(ISNUMBER($H93),$H93&lt;TODAY()),"En retard","Ouverte")))</f>
      </c>
      <c r="K93" s="21">
        <f>IF(OR(NOT(ISNUMBER($A93)),$D93=""),"",IF($J93="Levée",$I93-$A93,TODAY()-$A93))</f>
      </c>
    </row>
    <row r="94" spans="1:11" x14ac:dyDescent="0.25">
      <c r="A94" s="24"/>
      <c r="B94" s="9"/>
      <c r="C94" s="20">
        <f>IF($B94="","",IFERROR(INDEX(Parc!$B$2:$B$301,MATCH($B94,Parc!$A$2:$A$301,0)),"Réf. inconnue"))</f>
      </c>
      <c r="D94" s="9"/>
      <c r="E94" s="23"/>
      <c r="F94" s="9"/>
      <c r="G94" s="9"/>
      <c r="H94" s="24"/>
      <c r="I94" s="24"/>
      <c r="J94" s="22">
        <f>IF($D94="","",IF(AND(ISNUMBER($I94),$I94&lt;=TODAY()),"Levée",IF(AND(ISNUMBER($H94),$H94&lt;TODAY()),"En retard","Ouverte")))</f>
      </c>
      <c r="K94" s="21">
        <f>IF(OR(NOT(ISNUMBER($A94)),$D94=""),"",IF($J94="Levée",$I94-$A94,TODAY()-$A94))</f>
      </c>
    </row>
    <row r="95" spans="1:11" x14ac:dyDescent="0.25">
      <c r="A95" s="24"/>
      <c r="B95" s="9"/>
      <c r="C95" s="20">
        <f>IF($B95="","",IFERROR(INDEX(Parc!$B$2:$B$301,MATCH($B95,Parc!$A$2:$A$301,0)),"Réf. inconnue"))</f>
      </c>
      <c r="D95" s="9"/>
      <c r="E95" s="23"/>
      <c r="F95" s="9"/>
      <c r="G95" s="9"/>
      <c r="H95" s="24"/>
      <c r="I95" s="24"/>
      <c r="J95" s="22">
        <f>IF($D95="","",IF(AND(ISNUMBER($I95),$I95&lt;=TODAY()),"Levée",IF(AND(ISNUMBER($H95),$H95&lt;TODAY()),"En retard","Ouverte")))</f>
      </c>
      <c r="K95" s="21">
        <f>IF(OR(NOT(ISNUMBER($A95)),$D95=""),"",IF($J95="Levée",$I95-$A95,TODAY()-$A95))</f>
      </c>
    </row>
    <row r="96" spans="1:11" x14ac:dyDescent="0.25">
      <c r="A96" s="24"/>
      <c r="B96" s="9"/>
      <c r="C96" s="20">
        <f>IF($B96="","",IFERROR(INDEX(Parc!$B$2:$B$301,MATCH($B96,Parc!$A$2:$A$301,0)),"Réf. inconnue"))</f>
      </c>
      <c r="D96" s="9"/>
      <c r="E96" s="23"/>
      <c r="F96" s="9"/>
      <c r="G96" s="9"/>
      <c r="H96" s="24"/>
      <c r="I96" s="24"/>
      <c r="J96" s="22">
        <f>IF($D96="","",IF(AND(ISNUMBER($I96),$I96&lt;=TODAY()),"Levée",IF(AND(ISNUMBER($H96),$H96&lt;TODAY()),"En retard","Ouverte")))</f>
      </c>
      <c r="K96" s="21">
        <f>IF(OR(NOT(ISNUMBER($A96)),$D96=""),"",IF($J96="Levée",$I96-$A96,TODAY()-$A96))</f>
      </c>
    </row>
    <row r="97" spans="1:11" x14ac:dyDescent="0.25">
      <c r="A97" s="24"/>
      <c r="B97" s="9"/>
      <c r="C97" s="20">
        <f>IF($B97="","",IFERROR(INDEX(Parc!$B$2:$B$301,MATCH($B97,Parc!$A$2:$A$301,0)),"Réf. inconnue"))</f>
      </c>
      <c r="D97" s="9"/>
      <c r="E97" s="23"/>
      <c r="F97" s="9"/>
      <c r="G97" s="9"/>
      <c r="H97" s="24"/>
      <c r="I97" s="24"/>
      <c r="J97" s="22">
        <f>IF($D97="","",IF(AND(ISNUMBER($I97),$I97&lt;=TODAY()),"Levée",IF(AND(ISNUMBER($H97),$H97&lt;TODAY()),"En retard","Ouverte")))</f>
      </c>
      <c r="K97" s="21">
        <f>IF(OR(NOT(ISNUMBER($A97)),$D97=""),"",IF($J97="Levée",$I97-$A97,TODAY()-$A97))</f>
      </c>
    </row>
    <row r="98" spans="1:11" x14ac:dyDescent="0.25">
      <c r="A98" s="24"/>
      <c r="B98" s="9"/>
      <c r="C98" s="20">
        <f>IF($B98="","",IFERROR(INDEX(Parc!$B$2:$B$301,MATCH($B98,Parc!$A$2:$A$301,0)),"Réf. inconnue"))</f>
      </c>
      <c r="D98" s="9"/>
      <c r="E98" s="23"/>
      <c r="F98" s="9"/>
      <c r="G98" s="9"/>
      <c r="H98" s="24"/>
      <c r="I98" s="24"/>
      <c r="J98" s="22">
        <f>IF($D98="","",IF(AND(ISNUMBER($I98),$I98&lt;=TODAY()),"Levée",IF(AND(ISNUMBER($H98),$H98&lt;TODAY()),"En retard","Ouverte")))</f>
      </c>
      <c r="K98" s="21">
        <f>IF(OR(NOT(ISNUMBER($A98)),$D98=""),"",IF($J98="Levée",$I98-$A98,TODAY()-$A98))</f>
      </c>
    </row>
    <row r="99" spans="1:11" x14ac:dyDescent="0.25">
      <c r="A99" s="24"/>
      <c r="B99" s="9"/>
      <c r="C99" s="20">
        <f>IF($B99="","",IFERROR(INDEX(Parc!$B$2:$B$301,MATCH($B99,Parc!$A$2:$A$301,0)),"Réf. inconnue"))</f>
      </c>
      <c r="D99" s="9"/>
      <c r="E99" s="23"/>
      <c r="F99" s="9"/>
      <c r="G99" s="9"/>
      <c r="H99" s="24"/>
      <c r="I99" s="24"/>
      <c r="J99" s="22">
        <f>IF($D99="","",IF(AND(ISNUMBER($I99),$I99&lt;=TODAY()),"Levée",IF(AND(ISNUMBER($H99),$H99&lt;TODAY()),"En retard","Ouverte")))</f>
      </c>
      <c r="K99" s="21">
        <f>IF(OR(NOT(ISNUMBER($A99)),$D99=""),"",IF($J99="Levée",$I99-$A99,TODAY()-$A99))</f>
      </c>
    </row>
    <row r="100" spans="1:11" x14ac:dyDescent="0.25">
      <c r="A100" s="24"/>
      <c r="B100" s="9"/>
      <c r="C100" s="20">
        <f>IF($B100="","",IFERROR(INDEX(Parc!$B$2:$B$301,MATCH($B100,Parc!$A$2:$A$301,0)),"Réf. inconnue"))</f>
      </c>
      <c r="D100" s="9"/>
      <c r="E100" s="23"/>
      <c r="F100" s="9"/>
      <c r="G100" s="9"/>
      <c r="H100" s="24"/>
      <c r="I100" s="24"/>
      <c r="J100" s="22">
        <f>IF($D100="","",IF(AND(ISNUMBER($I100),$I100&lt;=TODAY()),"Levée",IF(AND(ISNUMBER($H100),$H100&lt;TODAY()),"En retard","Ouverte")))</f>
      </c>
      <c r="K100" s="21">
        <f>IF(OR(NOT(ISNUMBER($A100)),$D100=""),"",IF($J100="Levée",$I100-$A100,TODAY()-$A100))</f>
      </c>
    </row>
    <row r="101" spans="1:11" x14ac:dyDescent="0.25">
      <c r="A101" s="24"/>
      <c r="B101" s="9"/>
      <c r="C101" s="20">
        <f>IF($B101="","",IFERROR(INDEX(Parc!$B$2:$B$301,MATCH($B101,Parc!$A$2:$A$301,0)),"Réf. inconnue"))</f>
      </c>
      <c r="D101" s="9"/>
      <c r="E101" s="23"/>
      <c r="F101" s="9"/>
      <c r="G101" s="9"/>
      <c r="H101" s="24"/>
      <c r="I101" s="24"/>
      <c r="J101" s="22">
        <f>IF($D101="","",IF(AND(ISNUMBER($I101),$I101&lt;=TODAY()),"Levée",IF(AND(ISNUMBER($H101),$H101&lt;TODAY()),"En retard","Ouverte")))</f>
      </c>
      <c r="K101" s="21">
        <f>IF(OR(NOT(ISNUMBER($A101)),$D101=""),"",IF($J101="Levée",$I101-$A101,TODAY()-$A101))</f>
      </c>
    </row>
    <row r="102" spans="1:11" x14ac:dyDescent="0.25">
      <c r="A102" s="24"/>
      <c r="B102" s="9"/>
      <c r="C102" s="20">
        <f>IF($B102="","",IFERROR(INDEX(Parc!$B$2:$B$301,MATCH($B102,Parc!$A$2:$A$301,0)),"Réf. inconnue"))</f>
      </c>
      <c r="D102" s="9"/>
      <c r="E102" s="23"/>
      <c r="F102" s="9"/>
      <c r="G102" s="9"/>
      <c r="H102" s="24"/>
      <c r="I102" s="24"/>
      <c r="J102" s="22">
        <f>IF($D102="","",IF(AND(ISNUMBER($I102),$I102&lt;=TODAY()),"Levée",IF(AND(ISNUMBER($H102),$H102&lt;TODAY()),"En retard","Ouverte")))</f>
      </c>
      <c r="K102" s="21">
        <f>IF(OR(NOT(ISNUMBER($A102)),$D102=""),"",IF($J102="Levée",$I102-$A102,TODAY()-$A102))</f>
      </c>
    </row>
    <row r="103" spans="1:11" x14ac:dyDescent="0.25">
      <c r="A103" s="24"/>
      <c r="B103" s="9"/>
      <c r="C103" s="20">
        <f>IF($B103="","",IFERROR(INDEX(Parc!$B$2:$B$301,MATCH($B103,Parc!$A$2:$A$301,0)),"Réf. inconnue"))</f>
      </c>
      <c r="D103" s="9"/>
      <c r="E103" s="23"/>
      <c r="F103" s="9"/>
      <c r="G103" s="9"/>
      <c r="H103" s="24"/>
      <c r="I103" s="24"/>
      <c r="J103" s="22">
        <f>IF($D103="","",IF(AND(ISNUMBER($I103),$I103&lt;=TODAY()),"Levée",IF(AND(ISNUMBER($H103),$H103&lt;TODAY()),"En retard","Ouverte")))</f>
      </c>
      <c r="K103" s="21">
        <f>IF(OR(NOT(ISNUMBER($A103)),$D103=""),"",IF($J103="Levée",$I103-$A103,TODAY()-$A103))</f>
      </c>
    </row>
    <row r="104" spans="1:11" x14ac:dyDescent="0.25">
      <c r="A104" s="24"/>
      <c r="B104" s="9"/>
      <c r="C104" s="20">
        <f>IF($B104="","",IFERROR(INDEX(Parc!$B$2:$B$301,MATCH($B104,Parc!$A$2:$A$301,0)),"Réf. inconnue"))</f>
      </c>
      <c r="D104" s="9"/>
      <c r="E104" s="23"/>
      <c r="F104" s="9"/>
      <c r="G104" s="9"/>
      <c r="H104" s="24"/>
      <c r="I104" s="24"/>
      <c r="J104" s="22">
        <f>IF($D104="","",IF(AND(ISNUMBER($I104),$I104&lt;=TODAY()),"Levée",IF(AND(ISNUMBER($H104),$H104&lt;TODAY()),"En retard","Ouverte")))</f>
      </c>
      <c r="K104" s="21">
        <f>IF(OR(NOT(ISNUMBER($A104)),$D104=""),"",IF($J104="Levée",$I104-$A104,TODAY()-$A104))</f>
      </c>
    </row>
    <row r="105" spans="1:11" x14ac:dyDescent="0.25">
      <c r="A105" s="24"/>
      <c r="B105" s="9"/>
      <c r="C105" s="20">
        <f>IF($B105="","",IFERROR(INDEX(Parc!$B$2:$B$301,MATCH($B105,Parc!$A$2:$A$301,0)),"Réf. inconnue"))</f>
      </c>
      <c r="D105" s="9"/>
      <c r="E105" s="23"/>
      <c r="F105" s="9"/>
      <c r="G105" s="9"/>
      <c r="H105" s="24"/>
      <c r="I105" s="24"/>
      <c r="J105" s="22">
        <f>IF($D105="","",IF(AND(ISNUMBER($I105),$I105&lt;=TODAY()),"Levée",IF(AND(ISNUMBER($H105),$H105&lt;TODAY()),"En retard","Ouverte")))</f>
      </c>
      <c r="K105" s="21">
        <f>IF(OR(NOT(ISNUMBER($A105)),$D105=""),"",IF($J105="Levée",$I105-$A105,TODAY()-$A105))</f>
      </c>
    </row>
    <row r="106" spans="1:11" x14ac:dyDescent="0.25">
      <c r="A106" s="24"/>
      <c r="B106" s="9"/>
      <c r="C106" s="20">
        <f>IF($B106="","",IFERROR(INDEX(Parc!$B$2:$B$301,MATCH($B106,Parc!$A$2:$A$301,0)),"Réf. inconnue"))</f>
      </c>
      <c r="D106" s="9"/>
      <c r="E106" s="23"/>
      <c r="F106" s="9"/>
      <c r="G106" s="9"/>
      <c r="H106" s="24"/>
      <c r="I106" s="24"/>
      <c r="J106" s="22">
        <f>IF($D106="","",IF(AND(ISNUMBER($I106),$I106&lt;=TODAY()),"Levée",IF(AND(ISNUMBER($H106),$H106&lt;TODAY()),"En retard","Ouverte")))</f>
      </c>
      <c r="K106" s="21">
        <f>IF(OR(NOT(ISNUMBER($A106)),$D106=""),"",IF($J106="Levée",$I106-$A106,TODAY()-$A106))</f>
      </c>
    </row>
    <row r="107" spans="1:11" x14ac:dyDescent="0.25">
      <c r="A107" s="24"/>
      <c r="B107" s="9"/>
      <c r="C107" s="20">
        <f>IF($B107="","",IFERROR(INDEX(Parc!$B$2:$B$301,MATCH($B107,Parc!$A$2:$A$301,0)),"Réf. inconnue"))</f>
      </c>
      <c r="D107" s="9"/>
      <c r="E107" s="23"/>
      <c r="F107" s="9"/>
      <c r="G107" s="9"/>
      <c r="H107" s="24"/>
      <c r="I107" s="24"/>
      <c r="J107" s="22">
        <f>IF($D107="","",IF(AND(ISNUMBER($I107),$I107&lt;=TODAY()),"Levée",IF(AND(ISNUMBER($H107),$H107&lt;TODAY()),"En retard","Ouverte")))</f>
      </c>
      <c r="K107" s="21">
        <f>IF(OR(NOT(ISNUMBER($A107)),$D107=""),"",IF($J107="Levée",$I107-$A107,TODAY()-$A107))</f>
      </c>
    </row>
    <row r="108" spans="1:11" x14ac:dyDescent="0.25">
      <c r="A108" s="24"/>
      <c r="B108" s="9"/>
      <c r="C108" s="20">
        <f>IF($B108="","",IFERROR(INDEX(Parc!$B$2:$B$301,MATCH($B108,Parc!$A$2:$A$301,0)),"Réf. inconnue"))</f>
      </c>
      <c r="D108" s="9"/>
      <c r="E108" s="23"/>
      <c r="F108" s="9"/>
      <c r="G108" s="9"/>
      <c r="H108" s="24"/>
      <c r="I108" s="24"/>
      <c r="J108" s="22">
        <f>IF($D108="","",IF(AND(ISNUMBER($I108),$I108&lt;=TODAY()),"Levée",IF(AND(ISNUMBER($H108),$H108&lt;TODAY()),"En retard","Ouverte")))</f>
      </c>
      <c r="K108" s="21">
        <f>IF(OR(NOT(ISNUMBER($A108)),$D108=""),"",IF($J108="Levée",$I108-$A108,TODAY()-$A108))</f>
      </c>
    </row>
    <row r="109" spans="1:11" x14ac:dyDescent="0.25">
      <c r="A109" s="24"/>
      <c r="B109" s="9"/>
      <c r="C109" s="20">
        <f>IF($B109="","",IFERROR(INDEX(Parc!$B$2:$B$301,MATCH($B109,Parc!$A$2:$A$301,0)),"Réf. inconnue"))</f>
      </c>
      <c r="D109" s="9"/>
      <c r="E109" s="23"/>
      <c r="F109" s="9"/>
      <c r="G109" s="9"/>
      <c r="H109" s="24"/>
      <c r="I109" s="24"/>
      <c r="J109" s="22">
        <f>IF($D109="","",IF(AND(ISNUMBER($I109),$I109&lt;=TODAY()),"Levée",IF(AND(ISNUMBER($H109),$H109&lt;TODAY()),"En retard","Ouverte")))</f>
      </c>
      <c r="K109" s="21">
        <f>IF(OR(NOT(ISNUMBER($A109)),$D109=""),"",IF($J109="Levée",$I109-$A109,TODAY()-$A109))</f>
      </c>
    </row>
    <row r="110" spans="1:11" x14ac:dyDescent="0.25">
      <c r="A110" s="24"/>
      <c r="B110" s="9"/>
      <c r="C110" s="20">
        <f>IF($B110="","",IFERROR(INDEX(Parc!$B$2:$B$301,MATCH($B110,Parc!$A$2:$A$301,0)),"Réf. inconnue"))</f>
      </c>
      <c r="D110" s="9"/>
      <c r="E110" s="23"/>
      <c r="F110" s="9"/>
      <c r="G110" s="9"/>
      <c r="H110" s="24"/>
      <c r="I110" s="24"/>
      <c r="J110" s="22">
        <f>IF($D110="","",IF(AND(ISNUMBER($I110),$I110&lt;=TODAY()),"Levée",IF(AND(ISNUMBER($H110),$H110&lt;TODAY()),"En retard","Ouverte")))</f>
      </c>
      <c r="K110" s="21">
        <f>IF(OR(NOT(ISNUMBER($A110)),$D110=""),"",IF($J110="Levée",$I110-$A110,TODAY()-$A110))</f>
      </c>
    </row>
    <row r="111" spans="1:11" x14ac:dyDescent="0.25">
      <c r="A111" s="24"/>
      <c r="B111" s="9"/>
      <c r="C111" s="20">
        <f>IF($B111="","",IFERROR(INDEX(Parc!$B$2:$B$301,MATCH($B111,Parc!$A$2:$A$301,0)),"Réf. inconnue"))</f>
      </c>
      <c r="D111" s="9"/>
      <c r="E111" s="23"/>
      <c r="F111" s="9"/>
      <c r="G111" s="9"/>
      <c r="H111" s="24"/>
      <c r="I111" s="24"/>
      <c r="J111" s="22">
        <f>IF($D111="","",IF(AND(ISNUMBER($I111),$I111&lt;=TODAY()),"Levée",IF(AND(ISNUMBER($H111),$H111&lt;TODAY()),"En retard","Ouverte")))</f>
      </c>
      <c r="K111" s="21">
        <f>IF(OR(NOT(ISNUMBER($A111)),$D111=""),"",IF($J111="Levée",$I111-$A111,TODAY()-$A111))</f>
      </c>
    </row>
    <row r="112" spans="1:11" x14ac:dyDescent="0.25">
      <c r="A112" s="24"/>
      <c r="B112" s="9"/>
      <c r="C112" s="20">
        <f>IF($B112="","",IFERROR(INDEX(Parc!$B$2:$B$301,MATCH($B112,Parc!$A$2:$A$301,0)),"Réf. inconnue"))</f>
      </c>
      <c r="D112" s="9"/>
      <c r="E112" s="23"/>
      <c r="F112" s="9"/>
      <c r="G112" s="9"/>
      <c r="H112" s="24"/>
      <c r="I112" s="24"/>
      <c r="J112" s="22">
        <f>IF($D112="","",IF(AND(ISNUMBER($I112),$I112&lt;=TODAY()),"Levée",IF(AND(ISNUMBER($H112),$H112&lt;TODAY()),"En retard","Ouverte")))</f>
      </c>
      <c r="K112" s="21">
        <f>IF(OR(NOT(ISNUMBER($A112)),$D112=""),"",IF($J112="Levée",$I112-$A112,TODAY()-$A112))</f>
      </c>
    </row>
    <row r="113" spans="1:11" x14ac:dyDescent="0.25">
      <c r="A113" s="24"/>
      <c r="B113" s="9"/>
      <c r="C113" s="20">
        <f>IF($B113="","",IFERROR(INDEX(Parc!$B$2:$B$301,MATCH($B113,Parc!$A$2:$A$301,0)),"Réf. inconnue"))</f>
      </c>
      <c r="D113" s="9"/>
      <c r="E113" s="23"/>
      <c r="F113" s="9"/>
      <c r="G113" s="9"/>
      <c r="H113" s="24"/>
      <c r="I113" s="24"/>
      <c r="J113" s="22">
        <f>IF($D113="","",IF(AND(ISNUMBER($I113),$I113&lt;=TODAY()),"Levée",IF(AND(ISNUMBER($H113),$H113&lt;TODAY()),"En retard","Ouverte")))</f>
      </c>
      <c r="K113" s="21">
        <f>IF(OR(NOT(ISNUMBER($A113)),$D113=""),"",IF($J113="Levée",$I113-$A113,TODAY()-$A113))</f>
      </c>
    </row>
    <row r="114" spans="1:11" x14ac:dyDescent="0.25">
      <c r="A114" s="24"/>
      <c r="B114" s="9"/>
      <c r="C114" s="20">
        <f>IF($B114="","",IFERROR(INDEX(Parc!$B$2:$B$301,MATCH($B114,Parc!$A$2:$A$301,0)),"Réf. inconnue"))</f>
      </c>
      <c r="D114" s="9"/>
      <c r="E114" s="23"/>
      <c r="F114" s="9"/>
      <c r="G114" s="9"/>
      <c r="H114" s="24"/>
      <c r="I114" s="24"/>
      <c r="J114" s="22">
        <f>IF($D114="","",IF(AND(ISNUMBER($I114),$I114&lt;=TODAY()),"Levée",IF(AND(ISNUMBER($H114),$H114&lt;TODAY()),"En retard","Ouverte")))</f>
      </c>
      <c r="K114" s="21">
        <f>IF(OR(NOT(ISNUMBER($A114)),$D114=""),"",IF($J114="Levée",$I114-$A114,TODAY()-$A114))</f>
      </c>
    </row>
    <row r="115" spans="1:11" x14ac:dyDescent="0.25">
      <c r="A115" s="24"/>
      <c r="B115" s="9"/>
      <c r="C115" s="20">
        <f>IF($B115="","",IFERROR(INDEX(Parc!$B$2:$B$301,MATCH($B115,Parc!$A$2:$A$301,0)),"Réf. inconnue"))</f>
      </c>
      <c r="D115" s="9"/>
      <c r="E115" s="23"/>
      <c r="F115" s="9"/>
      <c r="G115" s="9"/>
      <c r="H115" s="24"/>
      <c r="I115" s="24"/>
      <c r="J115" s="22">
        <f>IF($D115="","",IF(AND(ISNUMBER($I115),$I115&lt;=TODAY()),"Levée",IF(AND(ISNUMBER($H115),$H115&lt;TODAY()),"En retard","Ouverte")))</f>
      </c>
      <c r="K115" s="21">
        <f>IF(OR(NOT(ISNUMBER($A115)),$D115=""),"",IF($J115="Levée",$I115-$A115,TODAY()-$A115))</f>
      </c>
    </row>
    <row r="116" spans="1:11" x14ac:dyDescent="0.25">
      <c r="A116" s="24"/>
      <c r="B116" s="9"/>
      <c r="C116" s="20">
        <f>IF($B116="","",IFERROR(INDEX(Parc!$B$2:$B$301,MATCH($B116,Parc!$A$2:$A$301,0)),"Réf. inconnue"))</f>
      </c>
      <c r="D116" s="9"/>
      <c r="E116" s="23"/>
      <c r="F116" s="9"/>
      <c r="G116" s="9"/>
      <c r="H116" s="24"/>
      <c r="I116" s="24"/>
      <c r="J116" s="22">
        <f>IF($D116="","",IF(AND(ISNUMBER($I116),$I116&lt;=TODAY()),"Levée",IF(AND(ISNUMBER($H116),$H116&lt;TODAY()),"En retard","Ouverte")))</f>
      </c>
      <c r="K116" s="21">
        <f>IF(OR(NOT(ISNUMBER($A116)),$D116=""),"",IF($J116="Levée",$I116-$A116,TODAY()-$A116))</f>
      </c>
    </row>
    <row r="117" spans="1:11" x14ac:dyDescent="0.25">
      <c r="A117" s="24"/>
      <c r="B117" s="9"/>
      <c r="C117" s="20">
        <f>IF($B117="","",IFERROR(INDEX(Parc!$B$2:$B$301,MATCH($B117,Parc!$A$2:$A$301,0)),"Réf. inconnue"))</f>
      </c>
      <c r="D117" s="9"/>
      <c r="E117" s="23"/>
      <c r="F117" s="9"/>
      <c r="G117" s="9"/>
      <c r="H117" s="24"/>
      <c r="I117" s="24"/>
      <c r="J117" s="22">
        <f>IF($D117="","",IF(AND(ISNUMBER($I117),$I117&lt;=TODAY()),"Levée",IF(AND(ISNUMBER($H117),$H117&lt;TODAY()),"En retard","Ouverte")))</f>
      </c>
      <c r="K117" s="21">
        <f>IF(OR(NOT(ISNUMBER($A117)),$D117=""),"",IF($J117="Levée",$I117-$A117,TODAY()-$A117))</f>
      </c>
    </row>
    <row r="118" spans="1:11" x14ac:dyDescent="0.25">
      <c r="A118" s="24"/>
      <c r="B118" s="9"/>
      <c r="C118" s="20">
        <f>IF($B118="","",IFERROR(INDEX(Parc!$B$2:$B$301,MATCH($B118,Parc!$A$2:$A$301,0)),"Réf. inconnue"))</f>
      </c>
      <c r="D118" s="9"/>
      <c r="E118" s="23"/>
      <c r="F118" s="9"/>
      <c r="G118" s="9"/>
      <c r="H118" s="24"/>
      <c r="I118" s="24"/>
      <c r="J118" s="22">
        <f>IF($D118="","",IF(AND(ISNUMBER($I118),$I118&lt;=TODAY()),"Levée",IF(AND(ISNUMBER($H118),$H118&lt;TODAY()),"En retard","Ouverte")))</f>
      </c>
      <c r="K118" s="21">
        <f>IF(OR(NOT(ISNUMBER($A118)),$D118=""),"",IF($J118="Levée",$I118-$A118,TODAY()-$A118))</f>
      </c>
    </row>
    <row r="119" spans="1:11" x14ac:dyDescent="0.25">
      <c r="A119" s="24"/>
      <c r="B119" s="9"/>
      <c r="C119" s="20">
        <f>IF($B119="","",IFERROR(INDEX(Parc!$B$2:$B$301,MATCH($B119,Parc!$A$2:$A$301,0)),"Réf. inconnue"))</f>
      </c>
      <c r="D119" s="9"/>
      <c r="E119" s="23"/>
      <c r="F119" s="9"/>
      <c r="G119" s="9"/>
      <c r="H119" s="24"/>
      <c r="I119" s="24"/>
      <c r="J119" s="22">
        <f>IF($D119="","",IF(AND(ISNUMBER($I119),$I119&lt;=TODAY()),"Levée",IF(AND(ISNUMBER($H119),$H119&lt;TODAY()),"En retard","Ouverte")))</f>
      </c>
      <c r="K119" s="21">
        <f>IF(OR(NOT(ISNUMBER($A119)),$D119=""),"",IF($J119="Levée",$I119-$A119,TODAY()-$A119))</f>
      </c>
    </row>
    <row r="120" spans="1:11" x14ac:dyDescent="0.25">
      <c r="A120" s="24"/>
      <c r="B120" s="9"/>
      <c r="C120" s="20">
        <f>IF($B120="","",IFERROR(INDEX(Parc!$B$2:$B$301,MATCH($B120,Parc!$A$2:$A$301,0)),"Réf. inconnue"))</f>
      </c>
      <c r="D120" s="9"/>
      <c r="E120" s="23"/>
      <c r="F120" s="9"/>
      <c r="G120" s="9"/>
      <c r="H120" s="24"/>
      <c r="I120" s="24"/>
      <c r="J120" s="22">
        <f>IF($D120="","",IF(AND(ISNUMBER($I120),$I120&lt;=TODAY()),"Levée",IF(AND(ISNUMBER($H120),$H120&lt;TODAY()),"En retard","Ouverte")))</f>
      </c>
      <c r="K120" s="21">
        <f>IF(OR(NOT(ISNUMBER($A120)),$D120=""),"",IF($J120="Levée",$I120-$A120,TODAY()-$A120))</f>
      </c>
    </row>
    <row r="121" spans="1:11" x14ac:dyDescent="0.25">
      <c r="A121" s="24"/>
      <c r="B121" s="9"/>
      <c r="C121" s="20">
        <f>IF($B121="","",IFERROR(INDEX(Parc!$B$2:$B$301,MATCH($B121,Parc!$A$2:$A$301,0)),"Réf. inconnue"))</f>
      </c>
      <c r="D121" s="9"/>
      <c r="E121" s="23"/>
      <c r="F121" s="9"/>
      <c r="G121" s="9"/>
      <c r="H121" s="24"/>
      <c r="I121" s="24"/>
      <c r="J121" s="22">
        <f>IF($D121="","",IF(AND(ISNUMBER($I121),$I121&lt;=TODAY()),"Levée",IF(AND(ISNUMBER($H121),$H121&lt;TODAY()),"En retard","Ouverte")))</f>
      </c>
      <c r="K121" s="21">
        <f>IF(OR(NOT(ISNUMBER($A121)),$D121=""),"",IF($J121="Levée",$I121-$A121,TODAY()-$A121))</f>
      </c>
    </row>
    <row r="122" spans="1:11" x14ac:dyDescent="0.25">
      <c r="A122" s="24"/>
      <c r="B122" s="9"/>
      <c r="C122" s="20">
        <f>IF($B122="","",IFERROR(INDEX(Parc!$B$2:$B$301,MATCH($B122,Parc!$A$2:$A$301,0)),"Réf. inconnue"))</f>
      </c>
      <c r="D122" s="9"/>
      <c r="E122" s="23"/>
      <c r="F122" s="9"/>
      <c r="G122" s="9"/>
      <c r="H122" s="24"/>
      <c r="I122" s="24"/>
      <c r="J122" s="22">
        <f>IF($D122="","",IF(AND(ISNUMBER($I122),$I122&lt;=TODAY()),"Levée",IF(AND(ISNUMBER($H122),$H122&lt;TODAY()),"En retard","Ouverte")))</f>
      </c>
      <c r="K122" s="21">
        <f>IF(OR(NOT(ISNUMBER($A122)),$D122=""),"",IF($J122="Levée",$I122-$A122,TODAY()-$A122))</f>
      </c>
    </row>
    <row r="123" spans="1:11" x14ac:dyDescent="0.25">
      <c r="A123" s="24"/>
      <c r="B123" s="9"/>
      <c r="C123" s="20">
        <f>IF($B123="","",IFERROR(INDEX(Parc!$B$2:$B$301,MATCH($B123,Parc!$A$2:$A$301,0)),"Réf. inconnue"))</f>
      </c>
      <c r="D123" s="9"/>
      <c r="E123" s="23"/>
      <c r="F123" s="9"/>
      <c r="G123" s="9"/>
      <c r="H123" s="24"/>
      <c r="I123" s="24"/>
      <c r="J123" s="22">
        <f>IF($D123="","",IF(AND(ISNUMBER($I123),$I123&lt;=TODAY()),"Levée",IF(AND(ISNUMBER($H123),$H123&lt;TODAY()),"En retard","Ouverte")))</f>
      </c>
      <c r="K123" s="21">
        <f>IF(OR(NOT(ISNUMBER($A123)),$D123=""),"",IF($J123="Levée",$I123-$A123,TODAY()-$A123))</f>
      </c>
    </row>
    <row r="124" spans="1:11" x14ac:dyDescent="0.25">
      <c r="A124" s="24"/>
      <c r="B124" s="9"/>
      <c r="C124" s="20">
        <f>IF($B124="","",IFERROR(INDEX(Parc!$B$2:$B$301,MATCH($B124,Parc!$A$2:$A$301,0)),"Réf. inconnue"))</f>
      </c>
      <c r="D124" s="9"/>
      <c r="E124" s="23"/>
      <c r="F124" s="9"/>
      <c r="G124" s="9"/>
      <c r="H124" s="24"/>
      <c r="I124" s="24"/>
      <c r="J124" s="22">
        <f>IF($D124="","",IF(AND(ISNUMBER($I124),$I124&lt;=TODAY()),"Levée",IF(AND(ISNUMBER($H124),$H124&lt;TODAY()),"En retard","Ouverte")))</f>
      </c>
      <c r="K124" s="21">
        <f>IF(OR(NOT(ISNUMBER($A124)),$D124=""),"",IF($J124="Levée",$I124-$A124,TODAY()-$A124))</f>
      </c>
    </row>
    <row r="125" spans="1:11" x14ac:dyDescent="0.25">
      <c r="A125" s="24"/>
      <c r="B125" s="9"/>
      <c r="C125" s="20">
        <f>IF($B125="","",IFERROR(INDEX(Parc!$B$2:$B$301,MATCH($B125,Parc!$A$2:$A$301,0)),"Réf. inconnue"))</f>
      </c>
      <c r="D125" s="9"/>
      <c r="E125" s="23"/>
      <c r="F125" s="9"/>
      <c r="G125" s="9"/>
      <c r="H125" s="24"/>
      <c r="I125" s="24"/>
      <c r="J125" s="22">
        <f>IF($D125="","",IF(AND(ISNUMBER($I125),$I125&lt;=TODAY()),"Levée",IF(AND(ISNUMBER($H125),$H125&lt;TODAY()),"En retard","Ouverte")))</f>
      </c>
      <c r="K125" s="21">
        <f>IF(OR(NOT(ISNUMBER($A125)),$D125=""),"",IF($J125="Levée",$I125-$A125,TODAY()-$A125))</f>
      </c>
    </row>
    <row r="126" spans="1:11" x14ac:dyDescent="0.25">
      <c r="A126" s="24"/>
      <c r="B126" s="9"/>
      <c r="C126" s="20">
        <f>IF($B126="","",IFERROR(INDEX(Parc!$B$2:$B$301,MATCH($B126,Parc!$A$2:$A$301,0)),"Réf. inconnue"))</f>
      </c>
      <c r="D126" s="9"/>
      <c r="E126" s="23"/>
      <c r="F126" s="9"/>
      <c r="G126" s="9"/>
      <c r="H126" s="24"/>
      <c r="I126" s="24"/>
      <c r="J126" s="22">
        <f>IF($D126="","",IF(AND(ISNUMBER($I126),$I126&lt;=TODAY()),"Levée",IF(AND(ISNUMBER($H126),$H126&lt;TODAY()),"En retard","Ouverte")))</f>
      </c>
      <c r="K126" s="21">
        <f>IF(OR(NOT(ISNUMBER($A126)),$D126=""),"",IF($J126="Levée",$I126-$A126,TODAY()-$A126))</f>
      </c>
    </row>
    <row r="127" spans="1:11" x14ac:dyDescent="0.25">
      <c r="A127" s="24"/>
      <c r="B127" s="9"/>
      <c r="C127" s="20">
        <f>IF($B127="","",IFERROR(INDEX(Parc!$B$2:$B$301,MATCH($B127,Parc!$A$2:$A$301,0)),"Réf. inconnue"))</f>
      </c>
      <c r="D127" s="9"/>
      <c r="E127" s="23"/>
      <c r="F127" s="9"/>
      <c r="G127" s="9"/>
      <c r="H127" s="24"/>
      <c r="I127" s="24"/>
      <c r="J127" s="22">
        <f>IF($D127="","",IF(AND(ISNUMBER($I127),$I127&lt;=TODAY()),"Levée",IF(AND(ISNUMBER($H127),$H127&lt;TODAY()),"En retard","Ouverte")))</f>
      </c>
      <c r="K127" s="21">
        <f>IF(OR(NOT(ISNUMBER($A127)),$D127=""),"",IF($J127="Levée",$I127-$A127,TODAY()-$A127))</f>
      </c>
    </row>
    <row r="128" spans="1:11" x14ac:dyDescent="0.25">
      <c r="A128" s="24"/>
      <c r="B128" s="9"/>
      <c r="C128" s="20">
        <f>IF($B128="","",IFERROR(INDEX(Parc!$B$2:$B$301,MATCH($B128,Parc!$A$2:$A$301,0)),"Réf. inconnue"))</f>
      </c>
      <c r="D128" s="9"/>
      <c r="E128" s="23"/>
      <c r="F128" s="9"/>
      <c r="G128" s="9"/>
      <c r="H128" s="24"/>
      <c r="I128" s="24"/>
      <c r="J128" s="22">
        <f>IF($D128="","",IF(AND(ISNUMBER($I128),$I128&lt;=TODAY()),"Levée",IF(AND(ISNUMBER($H128),$H128&lt;TODAY()),"En retard","Ouverte")))</f>
      </c>
      <c r="K128" s="21">
        <f>IF(OR(NOT(ISNUMBER($A128)),$D128=""),"",IF($J128="Levée",$I128-$A128,TODAY()-$A128))</f>
      </c>
    </row>
    <row r="129" spans="1:11" x14ac:dyDescent="0.25">
      <c r="A129" s="24"/>
      <c r="B129" s="9"/>
      <c r="C129" s="20">
        <f>IF($B129="","",IFERROR(INDEX(Parc!$B$2:$B$301,MATCH($B129,Parc!$A$2:$A$301,0)),"Réf. inconnue"))</f>
      </c>
      <c r="D129" s="9"/>
      <c r="E129" s="23"/>
      <c r="F129" s="9"/>
      <c r="G129" s="9"/>
      <c r="H129" s="24"/>
      <c r="I129" s="24"/>
      <c r="J129" s="22">
        <f>IF($D129="","",IF(AND(ISNUMBER($I129),$I129&lt;=TODAY()),"Levée",IF(AND(ISNUMBER($H129),$H129&lt;TODAY()),"En retard","Ouverte")))</f>
      </c>
      <c r="K129" s="21">
        <f>IF(OR(NOT(ISNUMBER($A129)),$D129=""),"",IF($J129="Levée",$I129-$A129,TODAY()-$A129))</f>
      </c>
    </row>
    <row r="130" spans="1:11" x14ac:dyDescent="0.25">
      <c r="A130" s="24"/>
      <c r="B130" s="9"/>
      <c r="C130" s="20">
        <f>IF($B130="","",IFERROR(INDEX(Parc!$B$2:$B$301,MATCH($B130,Parc!$A$2:$A$301,0)),"Réf. inconnue"))</f>
      </c>
      <c r="D130" s="9"/>
      <c r="E130" s="23"/>
      <c r="F130" s="9"/>
      <c r="G130" s="9"/>
      <c r="H130" s="24"/>
      <c r="I130" s="24"/>
      <c r="J130" s="22">
        <f>IF($D130="","",IF(AND(ISNUMBER($I130),$I130&lt;=TODAY()),"Levée",IF(AND(ISNUMBER($H130),$H130&lt;TODAY()),"En retard","Ouverte")))</f>
      </c>
      <c r="K130" s="21">
        <f>IF(OR(NOT(ISNUMBER($A130)),$D130=""),"",IF($J130="Levée",$I130-$A130,TODAY()-$A130))</f>
      </c>
    </row>
    <row r="131" spans="1:11" x14ac:dyDescent="0.25">
      <c r="A131" s="24"/>
      <c r="B131" s="9"/>
      <c r="C131" s="20">
        <f>IF($B131="","",IFERROR(INDEX(Parc!$B$2:$B$301,MATCH($B131,Parc!$A$2:$A$301,0)),"Réf. inconnue"))</f>
      </c>
      <c r="D131" s="9"/>
      <c r="E131" s="23"/>
      <c r="F131" s="9"/>
      <c r="G131" s="9"/>
      <c r="H131" s="24"/>
      <c r="I131" s="24"/>
      <c r="J131" s="22">
        <f>IF($D131="","",IF(AND(ISNUMBER($I131),$I131&lt;=TODAY()),"Levée",IF(AND(ISNUMBER($H131),$H131&lt;TODAY()),"En retard","Ouverte")))</f>
      </c>
      <c r="K131" s="21">
        <f>IF(OR(NOT(ISNUMBER($A131)),$D131=""),"",IF($J131="Levée",$I131-$A131,TODAY()-$A131))</f>
      </c>
    </row>
    <row r="132" spans="1:11" x14ac:dyDescent="0.25">
      <c r="A132" s="24"/>
      <c r="B132" s="9"/>
      <c r="C132" s="20">
        <f>IF($B132="","",IFERROR(INDEX(Parc!$B$2:$B$301,MATCH($B132,Parc!$A$2:$A$301,0)),"Réf. inconnue"))</f>
      </c>
      <c r="D132" s="9"/>
      <c r="E132" s="23"/>
      <c r="F132" s="9"/>
      <c r="G132" s="9"/>
      <c r="H132" s="24"/>
      <c r="I132" s="24"/>
      <c r="J132" s="22">
        <f>IF($D132="","",IF(AND(ISNUMBER($I132),$I132&lt;=TODAY()),"Levée",IF(AND(ISNUMBER($H132),$H132&lt;TODAY()),"En retard","Ouverte")))</f>
      </c>
      <c r="K132" s="21">
        <f>IF(OR(NOT(ISNUMBER($A132)),$D132=""),"",IF($J132="Levée",$I132-$A132,TODAY()-$A132))</f>
      </c>
    </row>
    <row r="133" spans="1:11" x14ac:dyDescent="0.25">
      <c r="A133" s="24"/>
      <c r="B133" s="9"/>
      <c r="C133" s="20">
        <f>IF($B133="","",IFERROR(INDEX(Parc!$B$2:$B$301,MATCH($B133,Parc!$A$2:$A$301,0)),"Réf. inconnue"))</f>
      </c>
      <c r="D133" s="9"/>
      <c r="E133" s="23"/>
      <c r="F133" s="9"/>
      <c r="G133" s="9"/>
      <c r="H133" s="24"/>
      <c r="I133" s="24"/>
      <c r="J133" s="22">
        <f>IF($D133="","",IF(AND(ISNUMBER($I133),$I133&lt;=TODAY()),"Levée",IF(AND(ISNUMBER($H133),$H133&lt;TODAY()),"En retard","Ouverte")))</f>
      </c>
      <c r="K133" s="21">
        <f>IF(OR(NOT(ISNUMBER($A133)),$D133=""),"",IF($J133="Levée",$I133-$A133,TODAY()-$A133))</f>
      </c>
    </row>
    <row r="134" spans="1:11" x14ac:dyDescent="0.25">
      <c r="A134" s="24"/>
      <c r="B134" s="9"/>
      <c r="C134" s="20">
        <f>IF($B134="","",IFERROR(INDEX(Parc!$B$2:$B$301,MATCH($B134,Parc!$A$2:$A$301,0)),"Réf. inconnue"))</f>
      </c>
      <c r="D134" s="9"/>
      <c r="E134" s="23"/>
      <c r="F134" s="9"/>
      <c r="G134" s="9"/>
      <c r="H134" s="24"/>
      <c r="I134" s="24"/>
      <c r="J134" s="22">
        <f>IF($D134="","",IF(AND(ISNUMBER($I134),$I134&lt;=TODAY()),"Levée",IF(AND(ISNUMBER($H134),$H134&lt;TODAY()),"En retard","Ouverte")))</f>
      </c>
      <c r="K134" s="21">
        <f>IF(OR(NOT(ISNUMBER($A134)),$D134=""),"",IF($J134="Levée",$I134-$A134,TODAY()-$A134))</f>
      </c>
    </row>
    <row r="135" spans="1:11" x14ac:dyDescent="0.25">
      <c r="A135" s="24"/>
      <c r="B135" s="9"/>
      <c r="C135" s="20">
        <f>IF($B135="","",IFERROR(INDEX(Parc!$B$2:$B$301,MATCH($B135,Parc!$A$2:$A$301,0)),"Réf. inconnue"))</f>
      </c>
      <c r="D135" s="9"/>
      <c r="E135" s="23"/>
      <c r="F135" s="9"/>
      <c r="G135" s="9"/>
      <c r="H135" s="24"/>
      <c r="I135" s="24"/>
      <c r="J135" s="22">
        <f>IF($D135="","",IF(AND(ISNUMBER($I135),$I135&lt;=TODAY()),"Levée",IF(AND(ISNUMBER($H135),$H135&lt;TODAY()),"En retard","Ouverte")))</f>
      </c>
      <c r="K135" s="21">
        <f>IF(OR(NOT(ISNUMBER($A135)),$D135=""),"",IF($J135="Levée",$I135-$A135,TODAY()-$A135))</f>
      </c>
    </row>
    <row r="136" spans="1:11" x14ac:dyDescent="0.25">
      <c r="A136" s="24"/>
      <c r="B136" s="9"/>
      <c r="C136" s="20">
        <f>IF($B136="","",IFERROR(INDEX(Parc!$B$2:$B$301,MATCH($B136,Parc!$A$2:$A$301,0)),"Réf. inconnue"))</f>
      </c>
      <c r="D136" s="9"/>
      <c r="E136" s="23"/>
      <c r="F136" s="9"/>
      <c r="G136" s="9"/>
      <c r="H136" s="24"/>
      <c r="I136" s="24"/>
      <c r="J136" s="22">
        <f>IF($D136="","",IF(AND(ISNUMBER($I136),$I136&lt;=TODAY()),"Levée",IF(AND(ISNUMBER($H136),$H136&lt;TODAY()),"En retard","Ouverte")))</f>
      </c>
      <c r="K136" s="21">
        <f>IF(OR(NOT(ISNUMBER($A136)),$D136=""),"",IF($J136="Levée",$I136-$A136,TODAY()-$A136))</f>
      </c>
    </row>
    <row r="137" spans="1:11" x14ac:dyDescent="0.25">
      <c r="A137" s="24"/>
      <c r="B137" s="9"/>
      <c r="C137" s="20">
        <f>IF($B137="","",IFERROR(INDEX(Parc!$B$2:$B$301,MATCH($B137,Parc!$A$2:$A$301,0)),"Réf. inconnue"))</f>
      </c>
      <c r="D137" s="9"/>
      <c r="E137" s="23"/>
      <c r="F137" s="9"/>
      <c r="G137" s="9"/>
      <c r="H137" s="24"/>
      <c r="I137" s="24"/>
      <c r="J137" s="22">
        <f>IF($D137="","",IF(AND(ISNUMBER($I137),$I137&lt;=TODAY()),"Levée",IF(AND(ISNUMBER($H137),$H137&lt;TODAY()),"En retard","Ouverte")))</f>
      </c>
      <c r="K137" s="21">
        <f>IF(OR(NOT(ISNUMBER($A137)),$D137=""),"",IF($J137="Levée",$I137-$A137,TODAY()-$A137))</f>
      </c>
    </row>
    <row r="138" spans="1:11" x14ac:dyDescent="0.25">
      <c r="A138" s="24"/>
      <c r="B138" s="9"/>
      <c r="C138" s="20">
        <f>IF($B138="","",IFERROR(INDEX(Parc!$B$2:$B$301,MATCH($B138,Parc!$A$2:$A$301,0)),"Réf. inconnue"))</f>
      </c>
      <c r="D138" s="9"/>
      <c r="E138" s="23"/>
      <c r="F138" s="9"/>
      <c r="G138" s="9"/>
      <c r="H138" s="24"/>
      <c r="I138" s="24"/>
      <c r="J138" s="22">
        <f>IF($D138="","",IF(AND(ISNUMBER($I138),$I138&lt;=TODAY()),"Levée",IF(AND(ISNUMBER($H138),$H138&lt;TODAY()),"En retard","Ouverte")))</f>
      </c>
      <c r="K138" s="21">
        <f>IF(OR(NOT(ISNUMBER($A138)),$D138=""),"",IF($J138="Levée",$I138-$A138,TODAY()-$A138))</f>
      </c>
    </row>
    <row r="139" spans="1:11" x14ac:dyDescent="0.25">
      <c r="A139" s="24"/>
      <c r="B139" s="9"/>
      <c r="C139" s="20">
        <f>IF($B139="","",IFERROR(INDEX(Parc!$B$2:$B$301,MATCH($B139,Parc!$A$2:$A$301,0)),"Réf. inconnue"))</f>
      </c>
      <c r="D139" s="9"/>
      <c r="E139" s="23"/>
      <c r="F139" s="9"/>
      <c r="G139" s="9"/>
      <c r="H139" s="24"/>
      <c r="I139" s="24"/>
      <c r="J139" s="22">
        <f>IF($D139="","",IF(AND(ISNUMBER($I139),$I139&lt;=TODAY()),"Levée",IF(AND(ISNUMBER($H139),$H139&lt;TODAY()),"En retard","Ouverte")))</f>
      </c>
      <c r="K139" s="21">
        <f>IF(OR(NOT(ISNUMBER($A139)),$D139=""),"",IF($J139="Levée",$I139-$A139,TODAY()-$A139))</f>
      </c>
    </row>
    <row r="140" spans="1:11" x14ac:dyDescent="0.25">
      <c r="A140" s="24"/>
      <c r="B140" s="9"/>
      <c r="C140" s="20">
        <f>IF($B140="","",IFERROR(INDEX(Parc!$B$2:$B$301,MATCH($B140,Parc!$A$2:$A$301,0)),"Réf. inconnue"))</f>
      </c>
      <c r="D140" s="9"/>
      <c r="E140" s="23"/>
      <c r="F140" s="9"/>
      <c r="G140" s="9"/>
      <c r="H140" s="24"/>
      <c r="I140" s="24"/>
      <c r="J140" s="22">
        <f>IF($D140="","",IF(AND(ISNUMBER($I140),$I140&lt;=TODAY()),"Levée",IF(AND(ISNUMBER($H140),$H140&lt;TODAY()),"En retard","Ouverte")))</f>
      </c>
      <c r="K140" s="21">
        <f>IF(OR(NOT(ISNUMBER($A140)),$D140=""),"",IF($J140="Levée",$I140-$A140,TODAY()-$A140))</f>
      </c>
    </row>
    <row r="141" spans="1:11" x14ac:dyDescent="0.25">
      <c r="A141" s="24"/>
      <c r="B141" s="9"/>
      <c r="C141" s="20">
        <f>IF($B141="","",IFERROR(INDEX(Parc!$B$2:$B$301,MATCH($B141,Parc!$A$2:$A$301,0)),"Réf. inconnue"))</f>
      </c>
      <c r="D141" s="9"/>
      <c r="E141" s="23"/>
      <c r="F141" s="9"/>
      <c r="G141" s="9"/>
      <c r="H141" s="24"/>
      <c r="I141" s="24"/>
      <c r="J141" s="22">
        <f>IF($D141="","",IF(AND(ISNUMBER($I141),$I141&lt;=TODAY()),"Levée",IF(AND(ISNUMBER($H141),$H141&lt;TODAY()),"En retard","Ouverte")))</f>
      </c>
      <c r="K141" s="21">
        <f>IF(OR(NOT(ISNUMBER($A141)),$D141=""),"",IF($J141="Levée",$I141-$A141,TODAY()-$A141))</f>
      </c>
    </row>
    <row r="142" spans="1:11" x14ac:dyDescent="0.25">
      <c r="A142" s="24"/>
      <c r="B142" s="9"/>
      <c r="C142" s="20">
        <f>IF($B142="","",IFERROR(INDEX(Parc!$B$2:$B$301,MATCH($B142,Parc!$A$2:$A$301,0)),"Réf. inconnue"))</f>
      </c>
      <c r="D142" s="9"/>
      <c r="E142" s="23"/>
      <c r="F142" s="9"/>
      <c r="G142" s="9"/>
      <c r="H142" s="24"/>
      <c r="I142" s="24"/>
      <c r="J142" s="22">
        <f>IF($D142="","",IF(AND(ISNUMBER($I142),$I142&lt;=TODAY()),"Levée",IF(AND(ISNUMBER($H142),$H142&lt;TODAY()),"En retard","Ouverte")))</f>
      </c>
      <c r="K142" s="21">
        <f>IF(OR(NOT(ISNUMBER($A142)),$D142=""),"",IF($J142="Levée",$I142-$A142,TODAY()-$A142))</f>
      </c>
    </row>
    <row r="143" spans="1:11" x14ac:dyDescent="0.25">
      <c r="A143" s="24"/>
      <c r="B143" s="9"/>
      <c r="C143" s="20">
        <f>IF($B143="","",IFERROR(INDEX(Parc!$B$2:$B$301,MATCH($B143,Parc!$A$2:$A$301,0)),"Réf. inconnue"))</f>
      </c>
      <c r="D143" s="9"/>
      <c r="E143" s="23"/>
      <c r="F143" s="9"/>
      <c r="G143" s="9"/>
      <c r="H143" s="24"/>
      <c r="I143" s="24"/>
      <c r="J143" s="22">
        <f>IF($D143="","",IF(AND(ISNUMBER($I143),$I143&lt;=TODAY()),"Levée",IF(AND(ISNUMBER($H143),$H143&lt;TODAY()),"En retard","Ouverte")))</f>
      </c>
      <c r="K143" s="21">
        <f>IF(OR(NOT(ISNUMBER($A143)),$D143=""),"",IF($J143="Levée",$I143-$A143,TODAY()-$A143))</f>
      </c>
    </row>
    <row r="144" spans="1:11" x14ac:dyDescent="0.25">
      <c r="A144" s="24"/>
      <c r="B144" s="9"/>
      <c r="C144" s="20">
        <f>IF($B144="","",IFERROR(INDEX(Parc!$B$2:$B$301,MATCH($B144,Parc!$A$2:$A$301,0)),"Réf. inconnue"))</f>
      </c>
      <c r="D144" s="9"/>
      <c r="E144" s="23"/>
      <c r="F144" s="9"/>
      <c r="G144" s="9"/>
      <c r="H144" s="24"/>
      <c r="I144" s="24"/>
      <c r="J144" s="22">
        <f>IF($D144="","",IF(AND(ISNUMBER($I144),$I144&lt;=TODAY()),"Levée",IF(AND(ISNUMBER($H144),$H144&lt;TODAY()),"En retard","Ouverte")))</f>
      </c>
      <c r="K144" s="21">
        <f>IF(OR(NOT(ISNUMBER($A144)),$D144=""),"",IF($J144="Levée",$I144-$A144,TODAY()-$A144))</f>
      </c>
    </row>
    <row r="145" spans="1:11" x14ac:dyDescent="0.25">
      <c r="A145" s="24"/>
      <c r="B145" s="9"/>
      <c r="C145" s="20">
        <f>IF($B145="","",IFERROR(INDEX(Parc!$B$2:$B$301,MATCH($B145,Parc!$A$2:$A$301,0)),"Réf. inconnue"))</f>
      </c>
      <c r="D145" s="9"/>
      <c r="E145" s="23"/>
      <c r="F145" s="9"/>
      <c r="G145" s="9"/>
      <c r="H145" s="24"/>
      <c r="I145" s="24"/>
      <c r="J145" s="22">
        <f>IF($D145="","",IF(AND(ISNUMBER($I145),$I145&lt;=TODAY()),"Levée",IF(AND(ISNUMBER($H145),$H145&lt;TODAY()),"En retard","Ouverte")))</f>
      </c>
      <c r="K145" s="21">
        <f>IF(OR(NOT(ISNUMBER($A145)),$D145=""),"",IF($J145="Levée",$I145-$A145,TODAY()-$A145))</f>
      </c>
    </row>
    <row r="146" spans="1:11" x14ac:dyDescent="0.25">
      <c r="A146" s="24"/>
      <c r="B146" s="9"/>
      <c r="C146" s="20">
        <f>IF($B146="","",IFERROR(INDEX(Parc!$B$2:$B$301,MATCH($B146,Parc!$A$2:$A$301,0)),"Réf. inconnue"))</f>
      </c>
      <c r="D146" s="9"/>
      <c r="E146" s="23"/>
      <c r="F146" s="9"/>
      <c r="G146" s="9"/>
      <c r="H146" s="24"/>
      <c r="I146" s="24"/>
      <c r="J146" s="22">
        <f>IF($D146="","",IF(AND(ISNUMBER($I146),$I146&lt;=TODAY()),"Levée",IF(AND(ISNUMBER($H146),$H146&lt;TODAY()),"En retard","Ouverte")))</f>
      </c>
      <c r="K146" s="21">
        <f>IF(OR(NOT(ISNUMBER($A146)),$D146=""),"",IF($J146="Levée",$I146-$A146,TODAY()-$A146))</f>
      </c>
    </row>
    <row r="147" spans="1:11" x14ac:dyDescent="0.25">
      <c r="A147" s="24"/>
      <c r="B147" s="9"/>
      <c r="C147" s="20">
        <f>IF($B147="","",IFERROR(INDEX(Parc!$B$2:$B$301,MATCH($B147,Parc!$A$2:$A$301,0)),"Réf. inconnue"))</f>
      </c>
      <c r="D147" s="9"/>
      <c r="E147" s="23"/>
      <c r="F147" s="9"/>
      <c r="G147" s="9"/>
      <c r="H147" s="24"/>
      <c r="I147" s="24"/>
      <c r="J147" s="22">
        <f>IF($D147="","",IF(AND(ISNUMBER($I147),$I147&lt;=TODAY()),"Levée",IF(AND(ISNUMBER($H147),$H147&lt;TODAY()),"En retard","Ouverte")))</f>
      </c>
      <c r="K147" s="21">
        <f>IF(OR(NOT(ISNUMBER($A147)),$D147=""),"",IF($J147="Levée",$I147-$A147,TODAY()-$A147))</f>
      </c>
    </row>
    <row r="148" spans="1:11" x14ac:dyDescent="0.25">
      <c r="A148" s="24"/>
      <c r="B148" s="9"/>
      <c r="C148" s="20">
        <f>IF($B148="","",IFERROR(INDEX(Parc!$B$2:$B$301,MATCH($B148,Parc!$A$2:$A$301,0)),"Réf. inconnue"))</f>
      </c>
      <c r="D148" s="9"/>
      <c r="E148" s="23"/>
      <c r="F148" s="9"/>
      <c r="G148" s="9"/>
      <c r="H148" s="24"/>
      <c r="I148" s="24"/>
      <c r="J148" s="22">
        <f>IF($D148="","",IF(AND(ISNUMBER($I148),$I148&lt;=TODAY()),"Levée",IF(AND(ISNUMBER($H148),$H148&lt;TODAY()),"En retard","Ouverte")))</f>
      </c>
      <c r="K148" s="21">
        <f>IF(OR(NOT(ISNUMBER($A148)),$D148=""),"",IF($J148="Levée",$I148-$A148,TODAY()-$A148))</f>
      </c>
    </row>
    <row r="149" spans="1:11" x14ac:dyDescent="0.25">
      <c r="A149" s="24"/>
      <c r="B149" s="9"/>
      <c r="C149" s="20">
        <f>IF($B149="","",IFERROR(INDEX(Parc!$B$2:$B$301,MATCH($B149,Parc!$A$2:$A$301,0)),"Réf. inconnue"))</f>
      </c>
      <c r="D149" s="9"/>
      <c r="E149" s="23"/>
      <c r="F149" s="9"/>
      <c r="G149" s="9"/>
      <c r="H149" s="24"/>
      <c r="I149" s="24"/>
      <c r="J149" s="22">
        <f>IF($D149="","",IF(AND(ISNUMBER($I149),$I149&lt;=TODAY()),"Levée",IF(AND(ISNUMBER($H149),$H149&lt;TODAY()),"En retard","Ouverte")))</f>
      </c>
      <c r="K149" s="21">
        <f>IF(OR(NOT(ISNUMBER($A149)),$D149=""),"",IF($J149="Levée",$I149-$A149,TODAY()-$A149))</f>
      </c>
    </row>
    <row r="150" spans="1:11" x14ac:dyDescent="0.25">
      <c r="A150" s="24"/>
      <c r="B150" s="9"/>
      <c r="C150" s="20">
        <f>IF($B150="","",IFERROR(INDEX(Parc!$B$2:$B$301,MATCH($B150,Parc!$A$2:$A$301,0)),"Réf. inconnue"))</f>
      </c>
      <c r="D150" s="9"/>
      <c r="E150" s="23"/>
      <c r="F150" s="9"/>
      <c r="G150" s="9"/>
      <c r="H150" s="24"/>
      <c r="I150" s="24"/>
      <c r="J150" s="22">
        <f>IF($D150="","",IF(AND(ISNUMBER($I150),$I150&lt;=TODAY()),"Levée",IF(AND(ISNUMBER($H150),$H150&lt;TODAY()),"En retard","Ouverte")))</f>
      </c>
      <c r="K150" s="21">
        <f>IF(OR(NOT(ISNUMBER($A150)),$D150=""),"",IF($J150="Levée",$I150-$A150,TODAY()-$A150))</f>
      </c>
    </row>
    <row r="151" spans="1:11" x14ac:dyDescent="0.25">
      <c r="A151" s="24"/>
      <c r="B151" s="9"/>
      <c r="C151" s="20">
        <f>IF($B151="","",IFERROR(INDEX(Parc!$B$2:$B$301,MATCH($B151,Parc!$A$2:$A$301,0)),"Réf. inconnue"))</f>
      </c>
      <c r="D151" s="9"/>
      <c r="E151" s="23"/>
      <c r="F151" s="9"/>
      <c r="G151" s="9"/>
      <c r="H151" s="24"/>
      <c r="I151" s="24"/>
      <c r="J151" s="22">
        <f>IF($D151="","",IF(AND(ISNUMBER($I151),$I151&lt;=TODAY()),"Levée",IF(AND(ISNUMBER($H151),$H151&lt;TODAY()),"En retard","Ouverte")))</f>
      </c>
      <c r="K151" s="21">
        <f>IF(OR(NOT(ISNUMBER($A151)),$D151=""),"",IF($J151="Levée",$I151-$A151,TODAY()-$A151))</f>
      </c>
    </row>
    <row r="152" spans="1:11" x14ac:dyDescent="0.25">
      <c r="A152" s="24"/>
      <c r="B152" s="9"/>
      <c r="C152" s="20">
        <f>IF($B152="","",IFERROR(INDEX(Parc!$B$2:$B$301,MATCH($B152,Parc!$A$2:$A$301,0)),"Réf. inconnue"))</f>
      </c>
      <c r="D152" s="9"/>
      <c r="E152" s="23"/>
      <c r="F152" s="9"/>
      <c r="G152" s="9"/>
      <c r="H152" s="24"/>
      <c r="I152" s="24"/>
      <c r="J152" s="22">
        <f>IF($D152="","",IF(AND(ISNUMBER($I152),$I152&lt;=TODAY()),"Levée",IF(AND(ISNUMBER($H152),$H152&lt;TODAY()),"En retard","Ouverte")))</f>
      </c>
      <c r="K152" s="21">
        <f>IF(OR(NOT(ISNUMBER($A152)),$D152=""),"",IF($J152="Levée",$I152-$A152,TODAY()-$A152))</f>
      </c>
    </row>
    <row r="153" spans="1:11" x14ac:dyDescent="0.25">
      <c r="A153" s="24"/>
      <c r="B153" s="9"/>
      <c r="C153" s="20">
        <f>IF($B153="","",IFERROR(INDEX(Parc!$B$2:$B$301,MATCH($B153,Parc!$A$2:$A$301,0)),"Réf. inconnue"))</f>
      </c>
      <c r="D153" s="9"/>
      <c r="E153" s="23"/>
      <c r="F153" s="9"/>
      <c r="G153" s="9"/>
      <c r="H153" s="24"/>
      <c r="I153" s="24"/>
      <c r="J153" s="22">
        <f>IF($D153="","",IF(AND(ISNUMBER($I153),$I153&lt;=TODAY()),"Levée",IF(AND(ISNUMBER($H153),$H153&lt;TODAY()),"En retard","Ouverte")))</f>
      </c>
      <c r="K153" s="21">
        <f>IF(OR(NOT(ISNUMBER($A153)),$D153=""),"",IF($J153="Levée",$I153-$A153,TODAY()-$A153))</f>
      </c>
    </row>
    <row r="154" spans="1:11" x14ac:dyDescent="0.25">
      <c r="A154" s="24"/>
      <c r="B154" s="9"/>
      <c r="C154" s="20">
        <f>IF($B154="","",IFERROR(INDEX(Parc!$B$2:$B$301,MATCH($B154,Parc!$A$2:$A$301,0)),"Réf. inconnue"))</f>
      </c>
      <c r="D154" s="9"/>
      <c r="E154" s="23"/>
      <c r="F154" s="9"/>
      <c r="G154" s="9"/>
      <c r="H154" s="24"/>
      <c r="I154" s="24"/>
      <c r="J154" s="22">
        <f>IF($D154="","",IF(AND(ISNUMBER($I154),$I154&lt;=TODAY()),"Levée",IF(AND(ISNUMBER($H154),$H154&lt;TODAY()),"En retard","Ouverte")))</f>
      </c>
      <c r="K154" s="21">
        <f>IF(OR(NOT(ISNUMBER($A154)),$D154=""),"",IF($J154="Levée",$I154-$A154,TODAY()-$A154))</f>
      </c>
    </row>
    <row r="155" spans="1:11" x14ac:dyDescent="0.25">
      <c r="A155" s="24"/>
      <c r="B155" s="9"/>
      <c r="C155" s="20">
        <f>IF($B155="","",IFERROR(INDEX(Parc!$B$2:$B$301,MATCH($B155,Parc!$A$2:$A$301,0)),"Réf. inconnue"))</f>
      </c>
      <c r="D155" s="9"/>
      <c r="E155" s="23"/>
      <c r="F155" s="9"/>
      <c r="G155" s="9"/>
      <c r="H155" s="24"/>
      <c r="I155" s="24"/>
      <c r="J155" s="22">
        <f>IF($D155="","",IF(AND(ISNUMBER($I155),$I155&lt;=TODAY()),"Levée",IF(AND(ISNUMBER($H155),$H155&lt;TODAY()),"En retard","Ouverte")))</f>
      </c>
      <c r="K155" s="21">
        <f>IF(OR(NOT(ISNUMBER($A155)),$D155=""),"",IF($J155="Levée",$I155-$A155,TODAY()-$A155))</f>
      </c>
    </row>
    <row r="156" spans="1:11" x14ac:dyDescent="0.25">
      <c r="A156" s="24"/>
      <c r="B156" s="9"/>
      <c r="C156" s="20">
        <f>IF($B156="","",IFERROR(INDEX(Parc!$B$2:$B$301,MATCH($B156,Parc!$A$2:$A$301,0)),"Réf. inconnue"))</f>
      </c>
      <c r="D156" s="9"/>
      <c r="E156" s="23"/>
      <c r="F156" s="9"/>
      <c r="G156" s="9"/>
      <c r="H156" s="24"/>
      <c r="I156" s="24"/>
      <c r="J156" s="22">
        <f>IF($D156="","",IF(AND(ISNUMBER($I156),$I156&lt;=TODAY()),"Levée",IF(AND(ISNUMBER($H156),$H156&lt;TODAY()),"En retard","Ouverte")))</f>
      </c>
      <c r="K156" s="21">
        <f>IF(OR(NOT(ISNUMBER($A156)),$D156=""),"",IF($J156="Levée",$I156-$A156,TODAY()-$A156))</f>
      </c>
    </row>
    <row r="157" spans="1:11" x14ac:dyDescent="0.25">
      <c r="A157" s="24"/>
      <c r="B157" s="9"/>
      <c r="C157" s="20">
        <f>IF($B157="","",IFERROR(INDEX(Parc!$B$2:$B$301,MATCH($B157,Parc!$A$2:$A$301,0)),"Réf. inconnue"))</f>
      </c>
      <c r="D157" s="9"/>
      <c r="E157" s="23"/>
      <c r="F157" s="9"/>
      <c r="G157" s="9"/>
      <c r="H157" s="24"/>
      <c r="I157" s="24"/>
      <c r="J157" s="22">
        <f>IF($D157="","",IF(AND(ISNUMBER($I157),$I157&lt;=TODAY()),"Levée",IF(AND(ISNUMBER($H157),$H157&lt;TODAY()),"En retard","Ouverte")))</f>
      </c>
      <c r="K157" s="21">
        <f>IF(OR(NOT(ISNUMBER($A157)),$D157=""),"",IF($J157="Levée",$I157-$A157,TODAY()-$A157))</f>
      </c>
    </row>
    <row r="158" spans="1:11" x14ac:dyDescent="0.25">
      <c r="A158" s="24"/>
      <c r="B158" s="9"/>
      <c r="C158" s="20">
        <f>IF($B158="","",IFERROR(INDEX(Parc!$B$2:$B$301,MATCH($B158,Parc!$A$2:$A$301,0)),"Réf. inconnue"))</f>
      </c>
      <c r="D158" s="9"/>
      <c r="E158" s="23"/>
      <c r="F158" s="9"/>
      <c r="G158" s="9"/>
      <c r="H158" s="24"/>
      <c r="I158" s="24"/>
      <c r="J158" s="22">
        <f>IF($D158="","",IF(AND(ISNUMBER($I158),$I158&lt;=TODAY()),"Levée",IF(AND(ISNUMBER($H158),$H158&lt;TODAY()),"En retard","Ouverte")))</f>
      </c>
      <c r="K158" s="21">
        <f>IF(OR(NOT(ISNUMBER($A158)),$D158=""),"",IF($J158="Levée",$I158-$A158,TODAY()-$A158))</f>
      </c>
    </row>
    <row r="159" spans="1:11" x14ac:dyDescent="0.25">
      <c r="A159" s="24"/>
      <c r="B159" s="9"/>
      <c r="C159" s="20">
        <f>IF($B159="","",IFERROR(INDEX(Parc!$B$2:$B$301,MATCH($B159,Parc!$A$2:$A$301,0)),"Réf. inconnue"))</f>
      </c>
      <c r="D159" s="9"/>
      <c r="E159" s="23"/>
      <c r="F159" s="9"/>
      <c r="G159" s="9"/>
      <c r="H159" s="24"/>
      <c r="I159" s="24"/>
      <c r="J159" s="22">
        <f>IF($D159="","",IF(AND(ISNUMBER($I159),$I159&lt;=TODAY()),"Levée",IF(AND(ISNUMBER($H159),$H159&lt;TODAY()),"En retard","Ouverte")))</f>
      </c>
      <c r="K159" s="21">
        <f>IF(OR(NOT(ISNUMBER($A159)),$D159=""),"",IF($J159="Levée",$I159-$A159,TODAY()-$A159))</f>
      </c>
    </row>
    <row r="160" spans="1:11" x14ac:dyDescent="0.25">
      <c r="A160" s="24"/>
      <c r="B160" s="9"/>
      <c r="C160" s="20">
        <f>IF($B160="","",IFERROR(INDEX(Parc!$B$2:$B$301,MATCH($B160,Parc!$A$2:$A$301,0)),"Réf. inconnue"))</f>
      </c>
      <c r="D160" s="9"/>
      <c r="E160" s="23"/>
      <c r="F160" s="9"/>
      <c r="G160" s="9"/>
      <c r="H160" s="24"/>
      <c r="I160" s="24"/>
      <c r="J160" s="22">
        <f>IF($D160="","",IF(AND(ISNUMBER($I160),$I160&lt;=TODAY()),"Levée",IF(AND(ISNUMBER($H160),$H160&lt;TODAY()),"En retard","Ouverte")))</f>
      </c>
      <c r="K160" s="21">
        <f>IF(OR(NOT(ISNUMBER($A160)),$D160=""),"",IF($J160="Levée",$I160-$A160,TODAY()-$A160))</f>
      </c>
    </row>
    <row r="161" spans="1:11" x14ac:dyDescent="0.25">
      <c r="A161" s="24"/>
      <c r="B161" s="9"/>
      <c r="C161" s="20">
        <f>IF($B161="","",IFERROR(INDEX(Parc!$B$2:$B$301,MATCH($B161,Parc!$A$2:$A$301,0)),"Réf. inconnue"))</f>
      </c>
      <c r="D161" s="9"/>
      <c r="E161" s="23"/>
      <c r="F161" s="9"/>
      <c r="G161" s="9"/>
      <c r="H161" s="24"/>
      <c r="I161" s="24"/>
      <c r="J161" s="22">
        <f>IF($D161="","",IF(AND(ISNUMBER($I161),$I161&lt;=TODAY()),"Levée",IF(AND(ISNUMBER($H161),$H161&lt;TODAY()),"En retard","Ouverte")))</f>
      </c>
      <c r="K161" s="21">
        <f>IF(OR(NOT(ISNUMBER($A161)),$D161=""),"",IF($J161="Levée",$I161-$A161,TODAY()-$A161))</f>
      </c>
    </row>
    <row r="162" spans="1:11" x14ac:dyDescent="0.25">
      <c r="A162" s="24"/>
      <c r="B162" s="9"/>
      <c r="C162" s="20">
        <f>IF($B162="","",IFERROR(INDEX(Parc!$B$2:$B$301,MATCH($B162,Parc!$A$2:$A$301,0)),"Réf. inconnue"))</f>
      </c>
      <c r="D162" s="9"/>
      <c r="E162" s="23"/>
      <c r="F162" s="9"/>
      <c r="G162" s="9"/>
      <c r="H162" s="24"/>
      <c r="I162" s="24"/>
      <c r="J162" s="22">
        <f>IF($D162="","",IF(AND(ISNUMBER($I162),$I162&lt;=TODAY()),"Levée",IF(AND(ISNUMBER($H162),$H162&lt;TODAY()),"En retard","Ouverte")))</f>
      </c>
      <c r="K162" s="21">
        <f>IF(OR(NOT(ISNUMBER($A162)),$D162=""),"",IF($J162="Levée",$I162-$A162,TODAY()-$A162))</f>
      </c>
    </row>
    <row r="163" spans="1:11" x14ac:dyDescent="0.25">
      <c r="A163" s="24"/>
      <c r="B163" s="9"/>
      <c r="C163" s="20">
        <f>IF($B163="","",IFERROR(INDEX(Parc!$B$2:$B$301,MATCH($B163,Parc!$A$2:$A$301,0)),"Réf. inconnue"))</f>
      </c>
      <c r="D163" s="9"/>
      <c r="E163" s="23"/>
      <c r="F163" s="9"/>
      <c r="G163" s="9"/>
      <c r="H163" s="24"/>
      <c r="I163" s="24"/>
      <c r="J163" s="22">
        <f>IF($D163="","",IF(AND(ISNUMBER($I163),$I163&lt;=TODAY()),"Levée",IF(AND(ISNUMBER($H163),$H163&lt;TODAY()),"En retard","Ouverte")))</f>
      </c>
      <c r="K163" s="21">
        <f>IF(OR(NOT(ISNUMBER($A163)),$D163=""),"",IF($J163="Levée",$I163-$A163,TODAY()-$A163))</f>
      </c>
    </row>
    <row r="164" spans="1:11" x14ac:dyDescent="0.25">
      <c r="A164" s="24"/>
      <c r="B164" s="9"/>
      <c r="C164" s="20">
        <f>IF($B164="","",IFERROR(INDEX(Parc!$B$2:$B$301,MATCH($B164,Parc!$A$2:$A$301,0)),"Réf. inconnue"))</f>
      </c>
      <c r="D164" s="9"/>
      <c r="E164" s="23"/>
      <c r="F164" s="9"/>
      <c r="G164" s="9"/>
      <c r="H164" s="24"/>
      <c r="I164" s="24"/>
      <c r="J164" s="22">
        <f>IF($D164="","",IF(AND(ISNUMBER($I164),$I164&lt;=TODAY()),"Levée",IF(AND(ISNUMBER($H164),$H164&lt;TODAY()),"En retard","Ouverte")))</f>
      </c>
      <c r="K164" s="21">
        <f>IF(OR(NOT(ISNUMBER($A164)),$D164=""),"",IF($J164="Levée",$I164-$A164,TODAY()-$A164))</f>
      </c>
    </row>
    <row r="165" spans="1:11" x14ac:dyDescent="0.25">
      <c r="A165" s="24"/>
      <c r="B165" s="9"/>
      <c r="C165" s="20">
        <f>IF($B165="","",IFERROR(INDEX(Parc!$B$2:$B$301,MATCH($B165,Parc!$A$2:$A$301,0)),"Réf. inconnue"))</f>
      </c>
      <c r="D165" s="9"/>
      <c r="E165" s="23"/>
      <c r="F165" s="9"/>
      <c r="G165" s="9"/>
      <c r="H165" s="24"/>
      <c r="I165" s="24"/>
      <c r="J165" s="22">
        <f>IF($D165="","",IF(AND(ISNUMBER($I165),$I165&lt;=TODAY()),"Levée",IF(AND(ISNUMBER($H165),$H165&lt;TODAY()),"En retard","Ouverte")))</f>
      </c>
      <c r="K165" s="21">
        <f>IF(OR(NOT(ISNUMBER($A165)),$D165=""),"",IF($J165="Levée",$I165-$A165,TODAY()-$A165))</f>
      </c>
    </row>
    <row r="166" spans="1:11" x14ac:dyDescent="0.25">
      <c r="A166" s="24"/>
      <c r="B166" s="9"/>
      <c r="C166" s="20">
        <f>IF($B166="","",IFERROR(INDEX(Parc!$B$2:$B$301,MATCH($B166,Parc!$A$2:$A$301,0)),"Réf. inconnue"))</f>
      </c>
      <c r="D166" s="9"/>
      <c r="E166" s="23"/>
      <c r="F166" s="9"/>
      <c r="G166" s="9"/>
      <c r="H166" s="24"/>
      <c r="I166" s="24"/>
      <c r="J166" s="22">
        <f>IF($D166="","",IF(AND(ISNUMBER($I166),$I166&lt;=TODAY()),"Levée",IF(AND(ISNUMBER($H166),$H166&lt;TODAY()),"En retard","Ouverte")))</f>
      </c>
      <c r="K166" s="21">
        <f>IF(OR(NOT(ISNUMBER($A166)),$D166=""),"",IF($J166="Levée",$I166-$A166,TODAY()-$A166))</f>
      </c>
    </row>
    <row r="167" spans="1:11" x14ac:dyDescent="0.25">
      <c r="A167" s="24"/>
      <c r="B167" s="9"/>
      <c r="C167" s="20">
        <f>IF($B167="","",IFERROR(INDEX(Parc!$B$2:$B$301,MATCH($B167,Parc!$A$2:$A$301,0)),"Réf. inconnue"))</f>
      </c>
      <c r="D167" s="9"/>
      <c r="E167" s="23"/>
      <c r="F167" s="9"/>
      <c r="G167" s="9"/>
      <c r="H167" s="24"/>
      <c r="I167" s="24"/>
      <c r="J167" s="22">
        <f>IF($D167="","",IF(AND(ISNUMBER($I167),$I167&lt;=TODAY()),"Levée",IF(AND(ISNUMBER($H167),$H167&lt;TODAY()),"En retard","Ouverte")))</f>
      </c>
      <c r="K167" s="21">
        <f>IF(OR(NOT(ISNUMBER($A167)),$D167=""),"",IF($J167="Levée",$I167-$A167,TODAY()-$A167))</f>
      </c>
    </row>
    <row r="168" spans="1:11" x14ac:dyDescent="0.25">
      <c r="A168" s="24"/>
      <c r="B168" s="9"/>
      <c r="C168" s="20">
        <f>IF($B168="","",IFERROR(INDEX(Parc!$B$2:$B$301,MATCH($B168,Parc!$A$2:$A$301,0)),"Réf. inconnue"))</f>
      </c>
      <c r="D168" s="9"/>
      <c r="E168" s="23"/>
      <c r="F168" s="9"/>
      <c r="G168" s="9"/>
      <c r="H168" s="24"/>
      <c r="I168" s="24"/>
      <c r="J168" s="22">
        <f>IF($D168="","",IF(AND(ISNUMBER($I168),$I168&lt;=TODAY()),"Levée",IF(AND(ISNUMBER($H168),$H168&lt;TODAY()),"En retard","Ouverte")))</f>
      </c>
      <c r="K168" s="21">
        <f>IF(OR(NOT(ISNUMBER($A168)),$D168=""),"",IF($J168="Levée",$I168-$A168,TODAY()-$A168))</f>
      </c>
    </row>
    <row r="169" spans="1:11" x14ac:dyDescent="0.25">
      <c r="A169" s="24"/>
      <c r="B169" s="9"/>
      <c r="C169" s="20">
        <f>IF($B169="","",IFERROR(INDEX(Parc!$B$2:$B$301,MATCH($B169,Parc!$A$2:$A$301,0)),"Réf. inconnue"))</f>
      </c>
      <c r="D169" s="9"/>
      <c r="E169" s="23"/>
      <c r="F169" s="9"/>
      <c r="G169" s="9"/>
      <c r="H169" s="24"/>
      <c r="I169" s="24"/>
      <c r="J169" s="22">
        <f>IF($D169="","",IF(AND(ISNUMBER($I169),$I169&lt;=TODAY()),"Levée",IF(AND(ISNUMBER($H169),$H169&lt;TODAY()),"En retard","Ouverte")))</f>
      </c>
      <c r="K169" s="21">
        <f>IF(OR(NOT(ISNUMBER($A169)),$D169=""),"",IF($J169="Levée",$I169-$A169,TODAY()-$A169))</f>
      </c>
    </row>
    <row r="170" spans="1:11" x14ac:dyDescent="0.25">
      <c r="A170" s="24"/>
      <c r="B170" s="9"/>
      <c r="C170" s="20">
        <f>IF($B170="","",IFERROR(INDEX(Parc!$B$2:$B$301,MATCH($B170,Parc!$A$2:$A$301,0)),"Réf. inconnue"))</f>
      </c>
      <c r="D170" s="9"/>
      <c r="E170" s="23"/>
      <c r="F170" s="9"/>
      <c r="G170" s="9"/>
      <c r="H170" s="24"/>
      <c r="I170" s="24"/>
      <c r="J170" s="22">
        <f>IF($D170="","",IF(AND(ISNUMBER($I170),$I170&lt;=TODAY()),"Levée",IF(AND(ISNUMBER($H170),$H170&lt;TODAY()),"En retard","Ouverte")))</f>
      </c>
      <c r="K170" s="21">
        <f>IF(OR(NOT(ISNUMBER($A170)),$D170=""),"",IF($J170="Levée",$I170-$A170,TODAY()-$A170))</f>
      </c>
    </row>
    <row r="171" spans="1:11" x14ac:dyDescent="0.25">
      <c r="A171" s="24"/>
      <c r="B171" s="9"/>
      <c r="C171" s="20">
        <f>IF($B171="","",IFERROR(INDEX(Parc!$B$2:$B$301,MATCH($B171,Parc!$A$2:$A$301,0)),"Réf. inconnue"))</f>
      </c>
      <c r="D171" s="9"/>
      <c r="E171" s="23"/>
      <c r="F171" s="9"/>
      <c r="G171" s="9"/>
      <c r="H171" s="24"/>
      <c r="I171" s="24"/>
      <c r="J171" s="22">
        <f>IF($D171="","",IF(AND(ISNUMBER($I171),$I171&lt;=TODAY()),"Levée",IF(AND(ISNUMBER($H171),$H171&lt;TODAY()),"En retard","Ouverte")))</f>
      </c>
      <c r="K171" s="21">
        <f>IF(OR(NOT(ISNUMBER($A171)),$D171=""),"",IF($J171="Levée",$I171-$A171,TODAY()-$A171))</f>
      </c>
    </row>
    <row r="172" spans="1:11" x14ac:dyDescent="0.25">
      <c r="A172" s="24"/>
      <c r="B172" s="9"/>
      <c r="C172" s="20">
        <f>IF($B172="","",IFERROR(INDEX(Parc!$B$2:$B$301,MATCH($B172,Parc!$A$2:$A$301,0)),"Réf. inconnue"))</f>
      </c>
      <c r="D172" s="9"/>
      <c r="E172" s="23"/>
      <c r="F172" s="9"/>
      <c r="G172" s="9"/>
      <c r="H172" s="24"/>
      <c r="I172" s="24"/>
      <c r="J172" s="22">
        <f>IF($D172="","",IF(AND(ISNUMBER($I172),$I172&lt;=TODAY()),"Levée",IF(AND(ISNUMBER($H172),$H172&lt;TODAY()),"En retard","Ouverte")))</f>
      </c>
      <c r="K172" s="21">
        <f>IF(OR(NOT(ISNUMBER($A172)),$D172=""),"",IF($J172="Levée",$I172-$A172,TODAY()-$A172))</f>
      </c>
    </row>
    <row r="173" spans="1:11" x14ac:dyDescent="0.25">
      <c r="A173" s="24"/>
      <c r="B173" s="9"/>
      <c r="C173" s="20">
        <f>IF($B173="","",IFERROR(INDEX(Parc!$B$2:$B$301,MATCH($B173,Parc!$A$2:$A$301,0)),"Réf. inconnue"))</f>
      </c>
      <c r="D173" s="9"/>
      <c r="E173" s="23"/>
      <c r="F173" s="9"/>
      <c r="G173" s="9"/>
      <c r="H173" s="24"/>
      <c r="I173" s="24"/>
      <c r="J173" s="22">
        <f>IF($D173="","",IF(AND(ISNUMBER($I173),$I173&lt;=TODAY()),"Levée",IF(AND(ISNUMBER($H173),$H173&lt;TODAY()),"En retard","Ouverte")))</f>
      </c>
      <c r="K173" s="21">
        <f>IF(OR(NOT(ISNUMBER($A173)),$D173=""),"",IF($J173="Levée",$I173-$A173,TODAY()-$A173))</f>
      </c>
    </row>
    <row r="174" spans="1:11" x14ac:dyDescent="0.25">
      <c r="A174" s="24"/>
      <c r="B174" s="9"/>
      <c r="C174" s="20">
        <f>IF($B174="","",IFERROR(INDEX(Parc!$B$2:$B$301,MATCH($B174,Parc!$A$2:$A$301,0)),"Réf. inconnue"))</f>
      </c>
      <c r="D174" s="9"/>
      <c r="E174" s="23"/>
      <c r="F174" s="9"/>
      <c r="G174" s="9"/>
      <c r="H174" s="24"/>
      <c r="I174" s="24"/>
      <c r="J174" s="22">
        <f>IF($D174="","",IF(AND(ISNUMBER($I174),$I174&lt;=TODAY()),"Levée",IF(AND(ISNUMBER($H174),$H174&lt;TODAY()),"En retard","Ouverte")))</f>
      </c>
      <c r="K174" s="21">
        <f>IF(OR(NOT(ISNUMBER($A174)),$D174=""),"",IF($J174="Levée",$I174-$A174,TODAY()-$A174))</f>
      </c>
    </row>
    <row r="175" spans="1:11" x14ac:dyDescent="0.25">
      <c r="A175" s="24"/>
      <c r="B175" s="9"/>
      <c r="C175" s="20">
        <f>IF($B175="","",IFERROR(INDEX(Parc!$B$2:$B$301,MATCH($B175,Parc!$A$2:$A$301,0)),"Réf. inconnue"))</f>
      </c>
      <c r="D175" s="9"/>
      <c r="E175" s="23"/>
      <c r="F175" s="9"/>
      <c r="G175" s="9"/>
      <c r="H175" s="24"/>
      <c r="I175" s="24"/>
      <c r="J175" s="22">
        <f>IF($D175="","",IF(AND(ISNUMBER($I175),$I175&lt;=TODAY()),"Levée",IF(AND(ISNUMBER($H175),$H175&lt;TODAY()),"En retard","Ouverte")))</f>
      </c>
      <c r="K175" s="21">
        <f>IF(OR(NOT(ISNUMBER($A175)),$D175=""),"",IF($J175="Levée",$I175-$A175,TODAY()-$A175))</f>
      </c>
    </row>
    <row r="176" spans="1:11" x14ac:dyDescent="0.25">
      <c r="A176" s="24"/>
      <c r="B176" s="9"/>
      <c r="C176" s="20">
        <f>IF($B176="","",IFERROR(INDEX(Parc!$B$2:$B$301,MATCH($B176,Parc!$A$2:$A$301,0)),"Réf. inconnue"))</f>
      </c>
      <c r="D176" s="9"/>
      <c r="E176" s="23"/>
      <c r="F176" s="9"/>
      <c r="G176" s="9"/>
      <c r="H176" s="24"/>
      <c r="I176" s="24"/>
      <c r="J176" s="22">
        <f>IF($D176="","",IF(AND(ISNUMBER($I176),$I176&lt;=TODAY()),"Levée",IF(AND(ISNUMBER($H176),$H176&lt;TODAY()),"En retard","Ouverte")))</f>
      </c>
      <c r="K176" s="21">
        <f>IF(OR(NOT(ISNUMBER($A176)),$D176=""),"",IF($J176="Levée",$I176-$A176,TODAY()-$A176))</f>
      </c>
    </row>
    <row r="177" spans="1:11" x14ac:dyDescent="0.25">
      <c r="A177" s="24"/>
      <c r="B177" s="9"/>
      <c r="C177" s="20">
        <f>IF($B177="","",IFERROR(INDEX(Parc!$B$2:$B$301,MATCH($B177,Parc!$A$2:$A$301,0)),"Réf. inconnue"))</f>
      </c>
      <c r="D177" s="9"/>
      <c r="E177" s="23"/>
      <c r="F177" s="9"/>
      <c r="G177" s="9"/>
      <c r="H177" s="24"/>
      <c r="I177" s="24"/>
      <c r="J177" s="22">
        <f>IF($D177="","",IF(AND(ISNUMBER($I177),$I177&lt;=TODAY()),"Levée",IF(AND(ISNUMBER($H177),$H177&lt;TODAY()),"En retard","Ouverte")))</f>
      </c>
      <c r="K177" s="21">
        <f>IF(OR(NOT(ISNUMBER($A177)),$D177=""),"",IF($J177="Levée",$I177-$A177,TODAY()-$A177))</f>
      </c>
    </row>
    <row r="178" spans="1:11" x14ac:dyDescent="0.25">
      <c r="A178" s="24"/>
      <c r="B178" s="9"/>
      <c r="C178" s="20">
        <f>IF($B178="","",IFERROR(INDEX(Parc!$B$2:$B$301,MATCH($B178,Parc!$A$2:$A$301,0)),"Réf. inconnue"))</f>
      </c>
      <c r="D178" s="9"/>
      <c r="E178" s="23"/>
      <c r="F178" s="9"/>
      <c r="G178" s="9"/>
      <c r="H178" s="24"/>
      <c r="I178" s="24"/>
      <c r="J178" s="22">
        <f>IF($D178="","",IF(AND(ISNUMBER($I178),$I178&lt;=TODAY()),"Levée",IF(AND(ISNUMBER($H178),$H178&lt;TODAY()),"En retard","Ouverte")))</f>
      </c>
      <c r="K178" s="21">
        <f>IF(OR(NOT(ISNUMBER($A178)),$D178=""),"",IF($J178="Levée",$I178-$A178,TODAY()-$A178))</f>
      </c>
    </row>
    <row r="179" spans="1:11" x14ac:dyDescent="0.25">
      <c r="A179" s="24"/>
      <c r="B179" s="9"/>
      <c r="C179" s="20">
        <f>IF($B179="","",IFERROR(INDEX(Parc!$B$2:$B$301,MATCH($B179,Parc!$A$2:$A$301,0)),"Réf. inconnue"))</f>
      </c>
      <c r="D179" s="9"/>
      <c r="E179" s="23"/>
      <c r="F179" s="9"/>
      <c r="G179" s="9"/>
      <c r="H179" s="24"/>
      <c r="I179" s="24"/>
      <c r="J179" s="22">
        <f>IF($D179="","",IF(AND(ISNUMBER($I179),$I179&lt;=TODAY()),"Levée",IF(AND(ISNUMBER($H179),$H179&lt;TODAY()),"En retard","Ouverte")))</f>
      </c>
      <c r="K179" s="21">
        <f>IF(OR(NOT(ISNUMBER($A179)),$D179=""),"",IF($J179="Levée",$I179-$A179,TODAY()-$A179))</f>
      </c>
    </row>
    <row r="180" spans="1:11" x14ac:dyDescent="0.25">
      <c r="A180" s="24"/>
      <c r="B180" s="9"/>
      <c r="C180" s="20">
        <f>IF($B180="","",IFERROR(INDEX(Parc!$B$2:$B$301,MATCH($B180,Parc!$A$2:$A$301,0)),"Réf. inconnue"))</f>
      </c>
      <c r="D180" s="9"/>
      <c r="E180" s="23"/>
      <c r="F180" s="9"/>
      <c r="G180" s="9"/>
      <c r="H180" s="24"/>
      <c r="I180" s="24"/>
      <c r="J180" s="22">
        <f>IF($D180="","",IF(AND(ISNUMBER($I180),$I180&lt;=TODAY()),"Levée",IF(AND(ISNUMBER($H180),$H180&lt;TODAY()),"En retard","Ouverte")))</f>
      </c>
      <c r="K180" s="21">
        <f>IF(OR(NOT(ISNUMBER($A180)),$D180=""),"",IF($J180="Levée",$I180-$A180,TODAY()-$A180))</f>
      </c>
    </row>
    <row r="181" spans="1:11" x14ac:dyDescent="0.25">
      <c r="A181" s="24"/>
      <c r="B181" s="9"/>
      <c r="C181" s="20">
        <f>IF($B181="","",IFERROR(INDEX(Parc!$B$2:$B$301,MATCH($B181,Parc!$A$2:$A$301,0)),"Réf. inconnue"))</f>
      </c>
      <c r="D181" s="9"/>
      <c r="E181" s="23"/>
      <c r="F181" s="9"/>
      <c r="G181" s="9"/>
      <c r="H181" s="24"/>
      <c r="I181" s="24"/>
      <c r="J181" s="22">
        <f>IF($D181="","",IF(AND(ISNUMBER($I181),$I181&lt;=TODAY()),"Levée",IF(AND(ISNUMBER($H181),$H181&lt;TODAY()),"En retard","Ouverte")))</f>
      </c>
      <c r="K181" s="21">
        <f>IF(OR(NOT(ISNUMBER($A181)),$D181=""),"",IF($J181="Levée",$I181-$A181,TODAY()-$A181))</f>
      </c>
    </row>
    <row r="182" spans="1:11" x14ac:dyDescent="0.25">
      <c r="A182" s="24"/>
      <c r="B182" s="9"/>
      <c r="C182" s="20">
        <f>IF($B182="","",IFERROR(INDEX(Parc!$B$2:$B$301,MATCH($B182,Parc!$A$2:$A$301,0)),"Réf. inconnue"))</f>
      </c>
      <c r="D182" s="9"/>
      <c r="E182" s="23"/>
      <c r="F182" s="9"/>
      <c r="G182" s="9"/>
      <c r="H182" s="24"/>
      <c r="I182" s="24"/>
      <c r="J182" s="22">
        <f>IF($D182="","",IF(AND(ISNUMBER($I182),$I182&lt;=TODAY()),"Levée",IF(AND(ISNUMBER($H182),$H182&lt;TODAY()),"En retard","Ouverte")))</f>
      </c>
      <c r="K182" s="21">
        <f>IF(OR(NOT(ISNUMBER($A182)),$D182=""),"",IF($J182="Levée",$I182-$A182,TODAY()-$A182))</f>
      </c>
    </row>
    <row r="183" spans="1:11" x14ac:dyDescent="0.25">
      <c r="A183" s="24"/>
      <c r="B183" s="9"/>
      <c r="C183" s="20">
        <f>IF($B183="","",IFERROR(INDEX(Parc!$B$2:$B$301,MATCH($B183,Parc!$A$2:$A$301,0)),"Réf. inconnue"))</f>
      </c>
      <c r="D183" s="9"/>
      <c r="E183" s="23"/>
      <c r="F183" s="9"/>
      <c r="G183" s="9"/>
      <c r="H183" s="24"/>
      <c r="I183" s="24"/>
      <c r="J183" s="22">
        <f>IF($D183="","",IF(AND(ISNUMBER($I183),$I183&lt;=TODAY()),"Levée",IF(AND(ISNUMBER($H183),$H183&lt;TODAY()),"En retard","Ouverte")))</f>
      </c>
      <c r="K183" s="21">
        <f>IF(OR(NOT(ISNUMBER($A183)),$D183=""),"",IF($J183="Levée",$I183-$A183,TODAY()-$A183))</f>
      </c>
    </row>
    <row r="184" spans="1:11" x14ac:dyDescent="0.25">
      <c r="A184" s="24"/>
      <c r="B184" s="9"/>
      <c r="C184" s="20">
        <f>IF($B184="","",IFERROR(INDEX(Parc!$B$2:$B$301,MATCH($B184,Parc!$A$2:$A$301,0)),"Réf. inconnue"))</f>
      </c>
      <c r="D184" s="9"/>
      <c r="E184" s="23"/>
      <c r="F184" s="9"/>
      <c r="G184" s="9"/>
      <c r="H184" s="24"/>
      <c r="I184" s="24"/>
      <c r="J184" s="22">
        <f>IF($D184="","",IF(AND(ISNUMBER($I184),$I184&lt;=TODAY()),"Levée",IF(AND(ISNUMBER($H184),$H184&lt;TODAY()),"En retard","Ouverte")))</f>
      </c>
      <c r="K184" s="21">
        <f>IF(OR(NOT(ISNUMBER($A184)),$D184=""),"",IF($J184="Levée",$I184-$A184,TODAY()-$A184))</f>
      </c>
    </row>
    <row r="185" spans="1:11" x14ac:dyDescent="0.25">
      <c r="A185" s="24"/>
      <c r="B185" s="9"/>
      <c r="C185" s="20">
        <f>IF($B185="","",IFERROR(INDEX(Parc!$B$2:$B$301,MATCH($B185,Parc!$A$2:$A$301,0)),"Réf. inconnue"))</f>
      </c>
      <c r="D185" s="9"/>
      <c r="E185" s="23"/>
      <c r="F185" s="9"/>
      <c r="G185" s="9"/>
      <c r="H185" s="24"/>
      <c r="I185" s="24"/>
      <c r="J185" s="22">
        <f>IF($D185="","",IF(AND(ISNUMBER($I185),$I185&lt;=TODAY()),"Levée",IF(AND(ISNUMBER($H185),$H185&lt;TODAY()),"En retard","Ouverte")))</f>
      </c>
      <c r="K185" s="21">
        <f>IF(OR(NOT(ISNUMBER($A185)),$D185=""),"",IF($J185="Levée",$I185-$A185,TODAY()-$A185))</f>
      </c>
    </row>
    <row r="186" spans="1:11" x14ac:dyDescent="0.25">
      <c r="A186" s="24"/>
      <c r="B186" s="9"/>
      <c r="C186" s="20">
        <f>IF($B186="","",IFERROR(INDEX(Parc!$B$2:$B$301,MATCH($B186,Parc!$A$2:$A$301,0)),"Réf. inconnue"))</f>
      </c>
      <c r="D186" s="9"/>
      <c r="E186" s="23"/>
      <c r="F186" s="9"/>
      <c r="G186" s="9"/>
      <c r="H186" s="24"/>
      <c r="I186" s="24"/>
      <c r="J186" s="22">
        <f>IF($D186="","",IF(AND(ISNUMBER($I186),$I186&lt;=TODAY()),"Levée",IF(AND(ISNUMBER($H186),$H186&lt;TODAY()),"En retard","Ouverte")))</f>
      </c>
      <c r="K186" s="21">
        <f>IF(OR(NOT(ISNUMBER($A186)),$D186=""),"",IF($J186="Levée",$I186-$A186,TODAY()-$A186))</f>
      </c>
    </row>
    <row r="187" spans="1:11" x14ac:dyDescent="0.25">
      <c r="A187" s="24"/>
      <c r="B187" s="9"/>
      <c r="C187" s="20">
        <f>IF($B187="","",IFERROR(INDEX(Parc!$B$2:$B$301,MATCH($B187,Parc!$A$2:$A$301,0)),"Réf. inconnue"))</f>
      </c>
      <c r="D187" s="9"/>
      <c r="E187" s="23"/>
      <c r="F187" s="9"/>
      <c r="G187" s="9"/>
      <c r="H187" s="24"/>
      <c r="I187" s="24"/>
      <c r="J187" s="22">
        <f>IF($D187="","",IF(AND(ISNUMBER($I187),$I187&lt;=TODAY()),"Levée",IF(AND(ISNUMBER($H187),$H187&lt;TODAY()),"En retard","Ouverte")))</f>
      </c>
      <c r="K187" s="21">
        <f>IF(OR(NOT(ISNUMBER($A187)),$D187=""),"",IF($J187="Levée",$I187-$A187,TODAY()-$A187))</f>
      </c>
    </row>
    <row r="188" spans="1:11" x14ac:dyDescent="0.25">
      <c r="A188" s="24"/>
      <c r="B188" s="9"/>
      <c r="C188" s="20">
        <f>IF($B188="","",IFERROR(INDEX(Parc!$B$2:$B$301,MATCH($B188,Parc!$A$2:$A$301,0)),"Réf. inconnue"))</f>
      </c>
      <c r="D188" s="9"/>
      <c r="E188" s="23"/>
      <c r="F188" s="9"/>
      <c r="G188" s="9"/>
      <c r="H188" s="24"/>
      <c r="I188" s="24"/>
      <c r="J188" s="22">
        <f>IF($D188="","",IF(AND(ISNUMBER($I188),$I188&lt;=TODAY()),"Levée",IF(AND(ISNUMBER($H188),$H188&lt;TODAY()),"En retard","Ouverte")))</f>
      </c>
      <c r="K188" s="21">
        <f>IF(OR(NOT(ISNUMBER($A188)),$D188=""),"",IF($J188="Levée",$I188-$A188,TODAY()-$A188))</f>
      </c>
    </row>
    <row r="189" spans="1:11" x14ac:dyDescent="0.25">
      <c r="A189" s="24"/>
      <c r="B189" s="9"/>
      <c r="C189" s="20">
        <f>IF($B189="","",IFERROR(INDEX(Parc!$B$2:$B$301,MATCH($B189,Parc!$A$2:$A$301,0)),"Réf. inconnue"))</f>
      </c>
      <c r="D189" s="9"/>
      <c r="E189" s="23"/>
      <c r="F189" s="9"/>
      <c r="G189" s="9"/>
      <c r="H189" s="24"/>
      <c r="I189" s="24"/>
      <c r="J189" s="22">
        <f>IF($D189="","",IF(AND(ISNUMBER($I189),$I189&lt;=TODAY()),"Levée",IF(AND(ISNUMBER($H189),$H189&lt;TODAY()),"En retard","Ouverte")))</f>
      </c>
      <c r="K189" s="21">
        <f>IF(OR(NOT(ISNUMBER($A189)),$D189=""),"",IF($J189="Levée",$I189-$A189,TODAY()-$A189))</f>
      </c>
    </row>
    <row r="190" spans="1:11" x14ac:dyDescent="0.25">
      <c r="A190" s="24"/>
      <c r="B190" s="9"/>
      <c r="C190" s="20">
        <f>IF($B190="","",IFERROR(INDEX(Parc!$B$2:$B$301,MATCH($B190,Parc!$A$2:$A$301,0)),"Réf. inconnue"))</f>
      </c>
      <c r="D190" s="9"/>
      <c r="E190" s="23"/>
      <c r="F190" s="9"/>
      <c r="G190" s="9"/>
      <c r="H190" s="24"/>
      <c r="I190" s="24"/>
      <c r="J190" s="22">
        <f>IF($D190="","",IF(AND(ISNUMBER($I190),$I190&lt;=TODAY()),"Levée",IF(AND(ISNUMBER($H190),$H190&lt;TODAY()),"En retard","Ouverte")))</f>
      </c>
      <c r="K190" s="21">
        <f>IF(OR(NOT(ISNUMBER($A190)),$D190=""),"",IF($J190="Levée",$I190-$A190,TODAY()-$A190))</f>
      </c>
    </row>
    <row r="191" spans="1:11" x14ac:dyDescent="0.25">
      <c r="A191" s="24"/>
      <c r="B191" s="9"/>
      <c r="C191" s="20">
        <f>IF($B191="","",IFERROR(INDEX(Parc!$B$2:$B$301,MATCH($B191,Parc!$A$2:$A$301,0)),"Réf. inconnue"))</f>
      </c>
      <c r="D191" s="9"/>
      <c r="E191" s="23"/>
      <c r="F191" s="9"/>
      <c r="G191" s="9"/>
      <c r="H191" s="24"/>
      <c r="I191" s="24"/>
      <c r="J191" s="22">
        <f>IF($D191="","",IF(AND(ISNUMBER($I191),$I191&lt;=TODAY()),"Levée",IF(AND(ISNUMBER($H191),$H191&lt;TODAY()),"En retard","Ouverte")))</f>
      </c>
      <c r="K191" s="21">
        <f>IF(OR(NOT(ISNUMBER($A191)),$D191=""),"",IF($J191="Levée",$I191-$A191,TODAY()-$A191))</f>
      </c>
    </row>
    <row r="192" spans="1:11" x14ac:dyDescent="0.25">
      <c r="A192" s="24"/>
      <c r="B192" s="9"/>
      <c r="C192" s="20">
        <f>IF($B192="","",IFERROR(INDEX(Parc!$B$2:$B$301,MATCH($B192,Parc!$A$2:$A$301,0)),"Réf. inconnue"))</f>
      </c>
      <c r="D192" s="9"/>
      <c r="E192" s="23"/>
      <c r="F192" s="9"/>
      <c r="G192" s="9"/>
      <c r="H192" s="24"/>
      <c r="I192" s="24"/>
      <c r="J192" s="22">
        <f>IF($D192="","",IF(AND(ISNUMBER($I192),$I192&lt;=TODAY()),"Levée",IF(AND(ISNUMBER($H192),$H192&lt;TODAY()),"En retard","Ouverte")))</f>
      </c>
      <c r="K192" s="21">
        <f>IF(OR(NOT(ISNUMBER($A192)),$D192=""),"",IF($J192="Levée",$I192-$A192,TODAY()-$A192))</f>
      </c>
    </row>
    <row r="193" spans="1:11" x14ac:dyDescent="0.25">
      <c r="A193" s="24"/>
      <c r="B193" s="9"/>
      <c r="C193" s="20">
        <f>IF($B193="","",IFERROR(INDEX(Parc!$B$2:$B$301,MATCH($B193,Parc!$A$2:$A$301,0)),"Réf. inconnue"))</f>
      </c>
      <c r="D193" s="9"/>
      <c r="E193" s="23"/>
      <c r="F193" s="9"/>
      <c r="G193" s="9"/>
      <c r="H193" s="24"/>
      <c r="I193" s="24"/>
      <c r="J193" s="22">
        <f>IF($D193="","",IF(AND(ISNUMBER($I193),$I193&lt;=TODAY()),"Levée",IF(AND(ISNUMBER($H193),$H193&lt;TODAY()),"En retard","Ouverte")))</f>
      </c>
      <c r="K193" s="21">
        <f>IF(OR(NOT(ISNUMBER($A193)),$D193=""),"",IF($J193="Levée",$I193-$A193,TODAY()-$A193))</f>
      </c>
    </row>
    <row r="194" spans="1:11" x14ac:dyDescent="0.25">
      <c r="A194" s="24"/>
      <c r="B194" s="9"/>
      <c r="C194" s="20">
        <f>IF($B194="","",IFERROR(INDEX(Parc!$B$2:$B$301,MATCH($B194,Parc!$A$2:$A$301,0)),"Réf. inconnue"))</f>
      </c>
      <c r="D194" s="9"/>
      <c r="E194" s="23"/>
      <c r="F194" s="9"/>
      <c r="G194" s="9"/>
      <c r="H194" s="24"/>
      <c r="I194" s="24"/>
      <c r="J194" s="22">
        <f>IF($D194="","",IF(AND(ISNUMBER($I194),$I194&lt;=TODAY()),"Levée",IF(AND(ISNUMBER($H194),$H194&lt;TODAY()),"En retard","Ouverte")))</f>
      </c>
      <c r="K194" s="21">
        <f>IF(OR(NOT(ISNUMBER($A194)),$D194=""),"",IF($J194="Levée",$I194-$A194,TODAY()-$A194))</f>
      </c>
    </row>
    <row r="195" spans="1:11" x14ac:dyDescent="0.25">
      <c r="A195" s="24"/>
      <c r="B195" s="9"/>
      <c r="C195" s="20">
        <f>IF($B195="","",IFERROR(INDEX(Parc!$B$2:$B$301,MATCH($B195,Parc!$A$2:$A$301,0)),"Réf. inconnue"))</f>
      </c>
      <c r="D195" s="9"/>
      <c r="E195" s="23"/>
      <c r="F195" s="9"/>
      <c r="G195" s="9"/>
      <c r="H195" s="24"/>
      <c r="I195" s="24"/>
      <c r="J195" s="22">
        <f>IF($D195="","",IF(AND(ISNUMBER($I195),$I195&lt;=TODAY()),"Levée",IF(AND(ISNUMBER($H195),$H195&lt;TODAY()),"En retard","Ouverte")))</f>
      </c>
      <c r="K195" s="21">
        <f>IF(OR(NOT(ISNUMBER($A195)),$D195=""),"",IF($J195="Levée",$I195-$A195,TODAY()-$A195))</f>
      </c>
    </row>
    <row r="196" spans="1:11" x14ac:dyDescent="0.25">
      <c r="A196" s="24"/>
      <c r="B196" s="9"/>
      <c r="C196" s="20">
        <f>IF($B196="","",IFERROR(INDEX(Parc!$B$2:$B$301,MATCH($B196,Parc!$A$2:$A$301,0)),"Réf. inconnue"))</f>
      </c>
      <c r="D196" s="9"/>
      <c r="E196" s="23"/>
      <c r="F196" s="9"/>
      <c r="G196" s="9"/>
      <c r="H196" s="24"/>
      <c r="I196" s="24"/>
      <c r="J196" s="22">
        <f>IF($D196="","",IF(AND(ISNUMBER($I196),$I196&lt;=TODAY()),"Levée",IF(AND(ISNUMBER($H196),$H196&lt;TODAY()),"En retard","Ouverte")))</f>
      </c>
      <c r="K196" s="21">
        <f>IF(OR(NOT(ISNUMBER($A196)),$D196=""),"",IF($J196="Levée",$I196-$A196,TODAY()-$A196))</f>
      </c>
    </row>
    <row r="197" spans="1:11" x14ac:dyDescent="0.25">
      <c r="A197" s="24"/>
      <c r="B197" s="9"/>
      <c r="C197" s="20">
        <f>IF($B197="","",IFERROR(INDEX(Parc!$B$2:$B$301,MATCH($B197,Parc!$A$2:$A$301,0)),"Réf. inconnue"))</f>
      </c>
      <c r="D197" s="9"/>
      <c r="E197" s="23"/>
      <c r="F197" s="9"/>
      <c r="G197" s="9"/>
      <c r="H197" s="24"/>
      <c r="I197" s="24"/>
      <c r="J197" s="22">
        <f>IF($D197="","",IF(AND(ISNUMBER($I197),$I197&lt;=TODAY()),"Levée",IF(AND(ISNUMBER($H197),$H197&lt;TODAY()),"En retard","Ouverte")))</f>
      </c>
      <c r="K197" s="21">
        <f>IF(OR(NOT(ISNUMBER($A197)),$D197=""),"",IF($J197="Levée",$I197-$A197,TODAY()-$A197))</f>
      </c>
    </row>
    <row r="198" spans="1:11" x14ac:dyDescent="0.25">
      <c r="A198" s="24"/>
      <c r="B198" s="9"/>
      <c r="C198" s="20">
        <f>IF($B198="","",IFERROR(INDEX(Parc!$B$2:$B$301,MATCH($B198,Parc!$A$2:$A$301,0)),"Réf. inconnue"))</f>
      </c>
      <c r="D198" s="9"/>
      <c r="E198" s="23"/>
      <c r="F198" s="9"/>
      <c r="G198" s="9"/>
      <c r="H198" s="24"/>
      <c r="I198" s="24"/>
      <c r="J198" s="22">
        <f>IF($D198="","",IF(AND(ISNUMBER($I198),$I198&lt;=TODAY()),"Levée",IF(AND(ISNUMBER($H198),$H198&lt;TODAY()),"En retard","Ouverte")))</f>
      </c>
      <c r="K198" s="21">
        <f>IF(OR(NOT(ISNUMBER($A198)),$D198=""),"",IF($J198="Levée",$I198-$A198,TODAY()-$A198))</f>
      </c>
    </row>
    <row r="199" spans="1:11" x14ac:dyDescent="0.25">
      <c r="A199" s="24"/>
      <c r="B199" s="9"/>
      <c r="C199" s="20">
        <f>IF($B199="","",IFERROR(INDEX(Parc!$B$2:$B$301,MATCH($B199,Parc!$A$2:$A$301,0)),"Réf. inconnue"))</f>
      </c>
      <c r="D199" s="9"/>
      <c r="E199" s="23"/>
      <c r="F199" s="9"/>
      <c r="G199" s="9"/>
      <c r="H199" s="24"/>
      <c r="I199" s="24"/>
      <c r="J199" s="22">
        <f>IF($D199="","",IF(AND(ISNUMBER($I199),$I199&lt;=TODAY()),"Levée",IF(AND(ISNUMBER($H199),$H199&lt;TODAY()),"En retard","Ouverte")))</f>
      </c>
      <c r="K199" s="21">
        <f>IF(OR(NOT(ISNUMBER($A199)),$D199=""),"",IF($J199="Levée",$I199-$A199,TODAY()-$A199))</f>
      </c>
    </row>
    <row r="200" spans="1:11" x14ac:dyDescent="0.25">
      <c r="A200" s="24"/>
      <c r="B200" s="9"/>
      <c r="C200" s="20">
        <f>IF($B200="","",IFERROR(INDEX(Parc!$B$2:$B$301,MATCH($B200,Parc!$A$2:$A$301,0)),"Réf. inconnue"))</f>
      </c>
      <c r="D200" s="9"/>
      <c r="E200" s="23"/>
      <c r="F200" s="9"/>
      <c r="G200" s="9"/>
      <c r="H200" s="24"/>
      <c r="I200" s="24"/>
      <c r="J200" s="22">
        <f>IF($D200="","",IF(AND(ISNUMBER($I200),$I200&lt;=TODAY()),"Levée",IF(AND(ISNUMBER($H200),$H200&lt;TODAY()),"En retard","Ouverte")))</f>
      </c>
      <c r="K200" s="21">
        <f>IF(OR(NOT(ISNUMBER($A200)),$D200=""),"",IF($J200="Levée",$I200-$A200,TODAY()-$A200))</f>
      </c>
    </row>
    <row r="201" spans="1:11" x14ac:dyDescent="0.25">
      <c r="A201" s="24"/>
      <c r="B201" s="9"/>
      <c r="C201" s="20">
        <f>IF($B201="","",IFERROR(INDEX(Parc!$B$2:$B$301,MATCH($B201,Parc!$A$2:$A$301,0)),"Réf. inconnue"))</f>
      </c>
      <c r="D201" s="9"/>
      <c r="E201" s="23"/>
      <c r="F201" s="9"/>
      <c r="G201" s="9"/>
      <c r="H201" s="24"/>
      <c r="I201" s="24"/>
      <c r="J201" s="22">
        <f>IF($D201="","",IF(AND(ISNUMBER($I201),$I201&lt;=TODAY()),"Levée",IF(AND(ISNUMBER($H201),$H201&lt;TODAY()),"En retard","Ouverte")))</f>
      </c>
      <c r="K201" s="21">
        <f>IF(OR(NOT(ISNUMBER($A201)),$D201=""),"",IF($J201="Levée",$I201-$A201,TODAY()-$A201))</f>
      </c>
    </row>
    <row r="202" spans="1:11" x14ac:dyDescent="0.25">
      <c r="A202" s="24"/>
      <c r="B202" s="9"/>
      <c r="C202" s="20">
        <f>IF($B202="","",IFERROR(INDEX(Parc!$B$2:$B$301,MATCH($B202,Parc!$A$2:$A$301,0)),"Réf. inconnue"))</f>
      </c>
      <c r="D202" s="9"/>
      <c r="E202" s="23"/>
      <c r="F202" s="9"/>
      <c r="G202" s="9"/>
      <c r="H202" s="24"/>
      <c r="I202" s="24"/>
      <c r="J202" s="22">
        <f>IF($D202="","",IF(AND(ISNUMBER($I202),$I202&lt;=TODAY()),"Levée",IF(AND(ISNUMBER($H202),$H202&lt;TODAY()),"En retard","Ouverte")))</f>
      </c>
      <c r="K202" s="21">
        <f>IF(OR(NOT(ISNUMBER($A202)),$D202=""),"",IF($J202="Levée",$I202-$A202,TODAY()-$A202))</f>
      </c>
    </row>
    <row r="203" spans="1:11" x14ac:dyDescent="0.25">
      <c r="A203" s="24"/>
      <c r="B203" s="9"/>
      <c r="C203" s="20">
        <f>IF($B203="","",IFERROR(INDEX(Parc!$B$2:$B$301,MATCH($B203,Parc!$A$2:$A$301,0)),"Réf. inconnue"))</f>
      </c>
      <c r="D203" s="9"/>
      <c r="E203" s="23"/>
      <c r="F203" s="9"/>
      <c r="G203" s="9"/>
      <c r="H203" s="24"/>
      <c r="I203" s="24"/>
      <c r="J203" s="22">
        <f>IF($D203="","",IF(AND(ISNUMBER($I203),$I203&lt;=TODAY()),"Levée",IF(AND(ISNUMBER($H203),$H203&lt;TODAY()),"En retard","Ouverte")))</f>
      </c>
      <c r="K203" s="21">
        <f>IF(OR(NOT(ISNUMBER($A203)),$D203=""),"",IF($J203="Levée",$I203-$A203,TODAY()-$A203))</f>
      </c>
    </row>
    <row r="204" spans="1:11" x14ac:dyDescent="0.25">
      <c r="A204" s="24"/>
      <c r="B204" s="9"/>
      <c r="C204" s="20">
        <f>IF($B204="","",IFERROR(INDEX(Parc!$B$2:$B$301,MATCH($B204,Parc!$A$2:$A$301,0)),"Réf. inconnue"))</f>
      </c>
      <c r="D204" s="9"/>
      <c r="E204" s="23"/>
      <c r="F204" s="9"/>
      <c r="G204" s="9"/>
      <c r="H204" s="24"/>
      <c r="I204" s="24"/>
      <c r="J204" s="22">
        <f>IF($D204="","",IF(AND(ISNUMBER($I204),$I204&lt;=TODAY()),"Levée",IF(AND(ISNUMBER($H204),$H204&lt;TODAY()),"En retard","Ouverte")))</f>
      </c>
      <c r="K204" s="21">
        <f>IF(OR(NOT(ISNUMBER($A204)),$D204=""),"",IF($J204="Levée",$I204-$A204,TODAY()-$A204))</f>
      </c>
    </row>
    <row r="205" spans="1:11" x14ac:dyDescent="0.25">
      <c r="A205" s="24"/>
      <c r="B205" s="9"/>
      <c r="C205" s="20">
        <f>IF($B205="","",IFERROR(INDEX(Parc!$B$2:$B$301,MATCH($B205,Parc!$A$2:$A$301,0)),"Réf. inconnue"))</f>
      </c>
      <c r="D205" s="9"/>
      <c r="E205" s="23"/>
      <c r="F205" s="9"/>
      <c r="G205" s="9"/>
      <c r="H205" s="24"/>
      <c r="I205" s="24"/>
      <c r="J205" s="22">
        <f>IF($D205="","",IF(AND(ISNUMBER($I205),$I205&lt;=TODAY()),"Levée",IF(AND(ISNUMBER($H205),$H205&lt;TODAY()),"En retard","Ouverte")))</f>
      </c>
      <c r="K205" s="21">
        <f>IF(OR(NOT(ISNUMBER($A205)),$D205=""),"",IF($J205="Levée",$I205-$A205,TODAY()-$A205))</f>
      </c>
    </row>
    <row r="206" spans="1:11" x14ac:dyDescent="0.25">
      <c r="A206" s="24"/>
      <c r="B206" s="9"/>
      <c r="C206" s="20">
        <f>IF($B206="","",IFERROR(INDEX(Parc!$B$2:$B$301,MATCH($B206,Parc!$A$2:$A$301,0)),"Réf. inconnue"))</f>
      </c>
      <c r="D206" s="9"/>
      <c r="E206" s="23"/>
      <c r="F206" s="9"/>
      <c r="G206" s="9"/>
      <c r="H206" s="24"/>
      <c r="I206" s="24"/>
      <c r="J206" s="22">
        <f>IF($D206="","",IF(AND(ISNUMBER($I206),$I206&lt;=TODAY()),"Levée",IF(AND(ISNUMBER($H206),$H206&lt;TODAY()),"En retard","Ouverte")))</f>
      </c>
      <c r="K206" s="21">
        <f>IF(OR(NOT(ISNUMBER($A206)),$D206=""),"",IF($J206="Levée",$I206-$A206,TODAY()-$A206))</f>
      </c>
    </row>
    <row r="207" spans="1:11" x14ac:dyDescent="0.25">
      <c r="A207" s="24"/>
      <c r="B207" s="9"/>
      <c r="C207" s="20">
        <f>IF($B207="","",IFERROR(INDEX(Parc!$B$2:$B$301,MATCH($B207,Parc!$A$2:$A$301,0)),"Réf. inconnue"))</f>
      </c>
      <c r="D207" s="9"/>
      <c r="E207" s="23"/>
      <c r="F207" s="9"/>
      <c r="G207" s="9"/>
      <c r="H207" s="24"/>
      <c r="I207" s="24"/>
      <c r="J207" s="22">
        <f>IF($D207="","",IF(AND(ISNUMBER($I207),$I207&lt;=TODAY()),"Levée",IF(AND(ISNUMBER($H207),$H207&lt;TODAY()),"En retard","Ouverte")))</f>
      </c>
      <c r="K207" s="21">
        <f>IF(OR(NOT(ISNUMBER($A207)),$D207=""),"",IF($J207="Levée",$I207-$A207,TODAY()-$A207))</f>
      </c>
    </row>
    <row r="208" spans="1:11" x14ac:dyDescent="0.25">
      <c r="A208" s="24"/>
      <c r="B208" s="9"/>
      <c r="C208" s="20">
        <f>IF($B208="","",IFERROR(INDEX(Parc!$B$2:$B$301,MATCH($B208,Parc!$A$2:$A$301,0)),"Réf. inconnue"))</f>
      </c>
      <c r="D208" s="9"/>
      <c r="E208" s="23"/>
      <c r="F208" s="9"/>
      <c r="G208" s="9"/>
      <c r="H208" s="24"/>
      <c r="I208" s="24"/>
      <c r="J208" s="22">
        <f>IF($D208="","",IF(AND(ISNUMBER($I208),$I208&lt;=TODAY()),"Levée",IF(AND(ISNUMBER($H208),$H208&lt;TODAY()),"En retard","Ouverte")))</f>
      </c>
      <c r="K208" s="21">
        <f>IF(OR(NOT(ISNUMBER($A208)),$D208=""),"",IF($J208="Levée",$I208-$A208,TODAY()-$A208))</f>
      </c>
    </row>
    <row r="209" spans="1:11" x14ac:dyDescent="0.25">
      <c r="A209" s="24"/>
      <c r="B209" s="9"/>
      <c r="C209" s="20">
        <f>IF($B209="","",IFERROR(INDEX(Parc!$B$2:$B$301,MATCH($B209,Parc!$A$2:$A$301,0)),"Réf. inconnue"))</f>
      </c>
      <c r="D209" s="9"/>
      <c r="E209" s="23"/>
      <c r="F209" s="9"/>
      <c r="G209" s="9"/>
      <c r="H209" s="24"/>
      <c r="I209" s="24"/>
      <c r="J209" s="22">
        <f>IF($D209="","",IF(AND(ISNUMBER($I209),$I209&lt;=TODAY()),"Levée",IF(AND(ISNUMBER($H209),$H209&lt;TODAY()),"En retard","Ouverte")))</f>
      </c>
      <c r="K209" s="21">
        <f>IF(OR(NOT(ISNUMBER($A209)),$D209=""),"",IF($J209="Levée",$I209-$A209,TODAY()-$A209))</f>
      </c>
    </row>
    <row r="210" spans="1:11" x14ac:dyDescent="0.25">
      <c r="A210" s="24"/>
      <c r="B210" s="9"/>
      <c r="C210" s="20">
        <f>IF($B210="","",IFERROR(INDEX(Parc!$B$2:$B$301,MATCH($B210,Parc!$A$2:$A$301,0)),"Réf. inconnue"))</f>
      </c>
      <c r="D210" s="9"/>
      <c r="E210" s="23"/>
      <c r="F210" s="9"/>
      <c r="G210" s="9"/>
      <c r="H210" s="24"/>
      <c r="I210" s="24"/>
      <c r="J210" s="22">
        <f>IF($D210="","",IF(AND(ISNUMBER($I210),$I210&lt;=TODAY()),"Levée",IF(AND(ISNUMBER($H210),$H210&lt;TODAY()),"En retard","Ouverte")))</f>
      </c>
      <c r="K210" s="21">
        <f>IF(OR(NOT(ISNUMBER($A210)),$D210=""),"",IF($J210="Levée",$I210-$A210,TODAY()-$A210))</f>
      </c>
    </row>
    <row r="211" spans="1:11" x14ac:dyDescent="0.25">
      <c r="A211" s="24"/>
      <c r="B211" s="9"/>
      <c r="C211" s="20">
        <f>IF($B211="","",IFERROR(INDEX(Parc!$B$2:$B$301,MATCH($B211,Parc!$A$2:$A$301,0)),"Réf. inconnue"))</f>
      </c>
      <c r="D211" s="9"/>
      <c r="E211" s="23"/>
      <c r="F211" s="9"/>
      <c r="G211" s="9"/>
      <c r="H211" s="24"/>
      <c r="I211" s="24"/>
      <c r="J211" s="22">
        <f>IF($D211="","",IF(AND(ISNUMBER($I211),$I211&lt;=TODAY()),"Levée",IF(AND(ISNUMBER($H211),$H211&lt;TODAY()),"En retard","Ouverte")))</f>
      </c>
      <c r="K211" s="21">
        <f>IF(OR(NOT(ISNUMBER($A211)),$D211=""),"",IF($J211="Levée",$I211-$A211,TODAY()-$A211))</f>
      </c>
    </row>
    <row r="212" spans="1:11" x14ac:dyDescent="0.25">
      <c r="A212" s="24"/>
      <c r="B212" s="9"/>
      <c r="C212" s="20">
        <f>IF($B212="","",IFERROR(INDEX(Parc!$B$2:$B$301,MATCH($B212,Parc!$A$2:$A$301,0)),"Réf. inconnue"))</f>
      </c>
      <c r="D212" s="9"/>
      <c r="E212" s="23"/>
      <c r="F212" s="9"/>
      <c r="G212" s="9"/>
      <c r="H212" s="24"/>
      <c r="I212" s="24"/>
      <c r="J212" s="22">
        <f>IF($D212="","",IF(AND(ISNUMBER($I212),$I212&lt;=TODAY()),"Levée",IF(AND(ISNUMBER($H212),$H212&lt;TODAY()),"En retard","Ouverte")))</f>
      </c>
      <c r="K212" s="21">
        <f>IF(OR(NOT(ISNUMBER($A212)),$D212=""),"",IF($J212="Levée",$I212-$A212,TODAY()-$A212))</f>
      </c>
    </row>
    <row r="213" spans="1:11" x14ac:dyDescent="0.25">
      <c r="A213" s="24"/>
      <c r="B213" s="9"/>
      <c r="C213" s="20">
        <f>IF($B213="","",IFERROR(INDEX(Parc!$B$2:$B$301,MATCH($B213,Parc!$A$2:$A$301,0)),"Réf. inconnue"))</f>
      </c>
      <c r="D213" s="9"/>
      <c r="E213" s="23"/>
      <c r="F213" s="9"/>
      <c r="G213" s="9"/>
      <c r="H213" s="24"/>
      <c r="I213" s="24"/>
      <c r="J213" s="22">
        <f>IF($D213="","",IF(AND(ISNUMBER($I213),$I213&lt;=TODAY()),"Levée",IF(AND(ISNUMBER($H213),$H213&lt;TODAY()),"En retard","Ouverte")))</f>
      </c>
      <c r="K213" s="21">
        <f>IF(OR(NOT(ISNUMBER($A213)),$D213=""),"",IF($J213="Levée",$I213-$A213,TODAY()-$A213))</f>
      </c>
    </row>
    <row r="214" spans="1:11" x14ac:dyDescent="0.25">
      <c r="A214" s="24"/>
      <c r="B214" s="9"/>
      <c r="C214" s="20">
        <f>IF($B214="","",IFERROR(INDEX(Parc!$B$2:$B$301,MATCH($B214,Parc!$A$2:$A$301,0)),"Réf. inconnue"))</f>
      </c>
      <c r="D214" s="9"/>
      <c r="E214" s="23"/>
      <c r="F214" s="9"/>
      <c r="G214" s="9"/>
      <c r="H214" s="24"/>
      <c r="I214" s="24"/>
      <c r="J214" s="22">
        <f>IF($D214="","",IF(AND(ISNUMBER($I214),$I214&lt;=TODAY()),"Levée",IF(AND(ISNUMBER($H214),$H214&lt;TODAY()),"En retard","Ouverte")))</f>
      </c>
      <c r="K214" s="21">
        <f>IF(OR(NOT(ISNUMBER($A214)),$D214=""),"",IF($J214="Levée",$I214-$A214,TODAY()-$A214))</f>
      </c>
    </row>
    <row r="215" spans="1:11" x14ac:dyDescent="0.25">
      <c r="A215" s="24"/>
      <c r="B215" s="9"/>
      <c r="C215" s="20">
        <f>IF($B215="","",IFERROR(INDEX(Parc!$B$2:$B$301,MATCH($B215,Parc!$A$2:$A$301,0)),"Réf. inconnue"))</f>
      </c>
      <c r="D215" s="9"/>
      <c r="E215" s="23"/>
      <c r="F215" s="9"/>
      <c r="G215" s="9"/>
      <c r="H215" s="24"/>
      <c r="I215" s="24"/>
      <c r="J215" s="22">
        <f>IF($D215="","",IF(AND(ISNUMBER($I215),$I215&lt;=TODAY()),"Levée",IF(AND(ISNUMBER($H215),$H215&lt;TODAY()),"En retard","Ouverte")))</f>
      </c>
      <c r="K215" s="21">
        <f>IF(OR(NOT(ISNUMBER($A215)),$D215=""),"",IF($J215="Levée",$I215-$A215,TODAY()-$A215))</f>
      </c>
    </row>
    <row r="216" spans="1:11" x14ac:dyDescent="0.25">
      <c r="A216" s="24"/>
      <c r="B216" s="9"/>
      <c r="C216" s="20">
        <f>IF($B216="","",IFERROR(INDEX(Parc!$B$2:$B$301,MATCH($B216,Parc!$A$2:$A$301,0)),"Réf. inconnue"))</f>
      </c>
      <c r="D216" s="9"/>
      <c r="E216" s="23"/>
      <c r="F216" s="9"/>
      <c r="G216" s="9"/>
      <c r="H216" s="24"/>
      <c r="I216" s="24"/>
      <c r="J216" s="22">
        <f>IF($D216="","",IF(AND(ISNUMBER($I216),$I216&lt;=TODAY()),"Levée",IF(AND(ISNUMBER($H216),$H216&lt;TODAY()),"En retard","Ouverte")))</f>
      </c>
      <c r="K216" s="21">
        <f>IF(OR(NOT(ISNUMBER($A216)),$D216=""),"",IF($J216="Levée",$I216-$A216,TODAY()-$A216))</f>
      </c>
    </row>
    <row r="217" spans="1:11" x14ac:dyDescent="0.25">
      <c r="A217" s="24"/>
      <c r="B217" s="9"/>
      <c r="C217" s="20">
        <f>IF($B217="","",IFERROR(INDEX(Parc!$B$2:$B$301,MATCH($B217,Parc!$A$2:$A$301,0)),"Réf. inconnue"))</f>
      </c>
      <c r="D217" s="9"/>
      <c r="E217" s="23"/>
      <c r="F217" s="9"/>
      <c r="G217" s="9"/>
      <c r="H217" s="24"/>
      <c r="I217" s="24"/>
      <c r="J217" s="22">
        <f>IF($D217="","",IF(AND(ISNUMBER($I217),$I217&lt;=TODAY()),"Levée",IF(AND(ISNUMBER($H217),$H217&lt;TODAY()),"En retard","Ouverte")))</f>
      </c>
      <c r="K217" s="21">
        <f>IF(OR(NOT(ISNUMBER($A217)),$D217=""),"",IF($J217="Levée",$I217-$A217,TODAY()-$A217))</f>
      </c>
    </row>
    <row r="218" spans="1:11" x14ac:dyDescent="0.25">
      <c r="A218" s="24"/>
      <c r="B218" s="9"/>
      <c r="C218" s="20">
        <f>IF($B218="","",IFERROR(INDEX(Parc!$B$2:$B$301,MATCH($B218,Parc!$A$2:$A$301,0)),"Réf. inconnue"))</f>
      </c>
      <c r="D218" s="9"/>
      <c r="E218" s="23"/>
      <c r="F218" s="9"/>
      <c r="G218" s="9"/>
      <c r="H218" s="24"/>
      <c r="I218" s="24"/>
      <c r="J218" s="22">
        <f>IF($D218="","",IF(AND(ISNUMBER($I218),$I218&lt;=TODAY()),"Levée",IF(AND(ISNUMBER($H218),$H218&lt;TODAY()),"En retard","Ouverte")))</f>
      </c>
      <c r="K218" s="21">
        <f>IF(OR(NOT(ISNUMBER($A218)),$D218=""),"",IF($J218="Levée",$I218-$A218,TODAY()-$A218))</f>
      </c>
    </row>
    <row r="219" spans="1:11" x14ac:dyDescent="0.25">
      <c r="A219" s="24"/>
      <c r="B219" s="9"/>
      <c r="C219" s="20">
        <f>IF($B219="","",IFERROR(INDEX(Parc!$B$2:$B$301,MATCH($B219,Parc!$A$2:$A$301,0)),"Réf. inconnue"))</f>
      </c>
      <c r="D219" s="9"/>
      <c r="E219" s="23"/>
      <c r="F219" s="9"/>
      <c r="G219" s="9"/>
      <c r="H219" s="24"/>
      <c r="I219" s="24"/>
      <c r="J219" s="22">
        <f>IF($D219="","",IF(AND(ISNUMBER($I219),$I219&lt;=TODAY()),"Levée",IF(AND(ISNUMBER($H219),$H219&lt;TODAY()),"En retard","Ouverte")))</f>
      </c>
      <c r="K219" s="21">
        <f>IF(OR(NOT(ISNUMBER($A219)),$D219=""),"",IF($J219="Levée",$I219-$A219,TODAY()-$A219))</f>
      </c>
    </row>
    <row r="220" spans="1:11" x14ac:dyDescent="0.25">
      <c r="A220" s="24"/>
      <c r="B220" s="9"/>
      <c r="C220" s="20">
        <f>IF($B220="","",IFERROR(INDEX(Parc!$B$2:$B$301,MATCH($B220,Parc!$A$2:$A$301,0)),"Réf. inconnue"))</f>
      </c>
      <c r="D220" s="9"/>
      <c r="E220" s="23"/>
      <c r="F220" s="9"/>
      <c r="G220" s="9"/>
      <c r="H220" s="24"/>
      <c r="I220" s="24"/>
      <c r="J220" s="22">
        <f>IF($D220="","",IF(AND(ISNUMBER($I220),$I220&lt;=TODAY()),"Levée",IF(AND(ISNUMBER($H220),$H220&lt;TODAY()),"En retard","Ouverte")))</f>
      </c>
      <c r="K220" s="21">
        <f>IF(OR(NOT(ISNUMBER($A220)),$D220=""),"",IF($J220="Levée",$I220-$A220,TODAY()-$A220))</f>
      </c>
    </row>
    <row r="221" spans="1:11" x14ac:dyDescent="0.25">
      <c r="A221" s="24"/>
      <c r="B221" s="9"/>
      <c r="C221" s="20">
        <f>IF($B221="","",IFERROR(INDEX(Parc!$B$2:$B$301,MATCH($B221,Parc!$A$2:$A$301,0)),"Réf. inconnue"))</f>
      </c>
      <c r="D221" s="9"/>
      <c r="E221" s="23"/>
      <c r="F221" s="9"/>
      <c r="G221" s="9"/>
      <c r="H221" s="24"/>
      <c r="I221" s="24"/>
      <c r="J221" s="22">
        <f>IF($D221="","",IF(AND(ISNUMBER($I221),$I221&lt;=TODAY()),"Levée",IF(AND(ISNUMBER($H221),$H221&lt;TODAY()),"En retard","Ouverte")))</f>
      </c>
      <c r="K221" s="21">
        <f>IF(OR(NOT(ISNUMBER($A221)),$D221=""),"",IF($J221="Levée",$I221-$A221,TODAY()-$A221))</f>
      </c>
    </row>
    <row r="222" spans="1:11" x14ac:dyDescent="0.25">
      <c r="A222" s="24"/>
      <c r="B222" s="9"/>
      <c r="C222" s="20">
        <f>IF($B222="","",IFERROR(INDEX(Parc!$B$2:$B$301,MATCH($B222,Parc!$A$2:$A$301,0)),"Réf. inconnue"))</f>
      </c>
      <c r="D222" s="9"/>
      <c r="E222" s="23"/>
      <c r="F222" s="9"/>
      <c r="G222" s="9"/>
      <c r="H222" s="24"/>
      <c r="I222" s="24"/>
      <c r="J222" s="22">
        <f>IF($D222="","",IF(AND(ISNUMBER($I222),$I222&lt;=TODAY()),"Levée",IF(AND(ISNUMBER($H222),$H222&lt;TODAY()),"En retard","Ouverte")))</f>
      </c>
      <c r="K222" s="21">
        <f>IF(OR(NOT(ISNUMBER($A222)),$D222=""),"",IF($J222="Levée",$I222-$A222,TODAY()-$A222))</f>
      </c>
    </row>
    <row r="223" spans="1:11" x14ac:dyDescent="0.25">
      <c r="A223" s="24"/>
      <c r="B223" s="9"/>
      <c r="C223" s="20">
        <f>IF($B223="","",IFERROR(INDEX(Parc!$B$2:$B$301,MATCH($B223,Parc!$A$2:$A$301,0)),"Réf. inconnue"))</f>
      </c>
      <c r="D223" s="9"/>
      <c r="E223" s="23"/>
      <c r="F223" s="9"/>
      <c r="G223" s="9"/>
      <c r="H223" s="24"/>
      <c r="I223" s="24"/>
      <c r="J223" s="22">
        <f>IF($D223="","",IF(AND(ISNUMBER($I223),$I223&lt;=TODAY()),"Levée",IF(AND(ISNUMBER($H223),$H223&lt;TODAY()),"En retard","Ouverte")))</f>
      </c>
      <c r="K223" s="21">
        <f>IF(OR(NOT(ISNUMBER($A223)),$D223=""),"",IF($J223="Levée",$I223-$A223,TODAY()-$A223))</f>
      </c>
    </row>
    <row r="224" spans="1:11" x14ac:dyDescent="0.25">
      <c r="A224" s="24"/>
      <c r="B224" s="9"/>
      <c r="C224" s="20">
        <f>IF($B224="","",IFERROR(INDEX(Parc!$B$2:$B$301,MATCH($B224,Parc!$A$2:$A$301,0)),"Réf. inconnue"))</f>
      </c>
      <c r="D224" s="9"/>
      <c r="E224" s="23"/>
      <c r="F224" s="9"/>
      <c r="G224" s="9"/>
      <c r="H224" s="24"/>
      <c r="I224" s="24"/>
      <c r="J224" s="22">
        <f>IF($D224="","",IF(AND(ISNUMBER($I224),$I224&lt;=TODAY()),"Levée",IF(AND(ISNUMBER($H224),$H224&lt;TODAY()),"En retard","Ouverte")))</f>
      </c>
      <c r="K224" s="21">
        <f>IF(OR(NOT(ISNUMBER($A224)),$D224=""),"",IF($J224="Levée",$I224-$A224,TODAY()-$A224))</f>
      </c>
    </row>
    <row r="225" spans="1:11" x14ac:dyDescent="0.25">
      <c r="A225" s="24"/>
      <c r="B225" s="9"/>
      <c r="C225" s="20">
        <f>IF($B225="","",IFERROR(INDEX(Parc!$B$2:$B$301,MATCH($B225,Parc!$A$2:$A$301,0)),"Réf. inconnue"))</f>
      </c>
      <c r="D225" s="9"/>
      <c r="E225" s="23"/>
      <c r="F225" s="9"/>
      <c r="G225" s="9"/>
      <c r="H225" s="24"/>
      <c r="I225" s="24"/>
      <c r="J225" s="22">
        <f>IF($D225="","",IF(AND(ISNUMBER($I225),$I225&lt;=TODAY()),"Levée",IF(AND(ISNUMBER($H225),$H225&lt;TODAY()),"En retard","Ouverte")))</f>
      </c>
      <c r="K225" s="21">
        <f>IF(OR(NOT(ISNUMBER($A225)),$D225=""),"",IF($J225="Levée",$I225-$A225,TODAY()-$A225))</f>
      </c>
    </row>
    <row r="226" spans="1:11" x14ac:dyDescent="0.25">
      <c r="A226" s="24"/>
      <c r="B226" s="9"/>
      <c r="C226" s="20">
        <f>IF($B226="","",IFERROR(INDEX(Parc!$B$2:$B$301,MATCH($B226,Parc!$A$2:$A$301,0)),"Réf. inconnue"))</f>
      </c>
      <c r="D226" s="9"/>
      <c r="E226" s="23"/>
      <c r="F226" s="9"/>
      <c r="G226" s="9"/>
      <c r="H226" s="24"/>
      <c r="I226" s="24"/>
      <c r="J226" s="22">
        <f>IF($D226="","",IF(AND(ISNUMBER($I226),$I226&lt;=TODAY()),"Levée",IF(AND(ISNUMBER($H226),$H226&lt;TODAY()),"En retard","Ouverte")))</f>
      </c>
      <c r="K226" s="21">
        <f>IF(OR(NOT(ISNUMBER($A226)),$D226=""),"",IF($J226="Levée",$I226-$A226,TODAY()-$A226))</f>
      </c>
    </row>
    <row r="227" spans="1:11" x14ac:dyDescent="0.25">
      <c r="A227" s="24"/>
      <c r="B227" s="9"/>
      <c r="C227" s="20">
        <f>IF($B227="","",IFERROR(INDEX(Parc!$B$2:$B$301,MATCH($B227,Parc!$A$2:$A$301,0)),"Réf. inconnue"))</f>
      </c>
      <c r="D227" s="9"/>
      <c r="E227" s="23"/>
      <c r="F227" s="9"/>
      <c r="G227" s="9"/>
      <c r="H227" s="24"/>
      <c r="I227" s="24"/>
      <c r="J227" s="22">
        <f>IF($D227="","",IF(AND(ISNUMBER($I227),$I227&lt;=TODAY()),"Levée",IF(AND(ISNUMBER($H227),$H227&lt;TODAY()),"En retard","Ouverte")))</f>
      </c>
      <c r="K227" s="21">
        <f>IF(OR(NOT(ISNUMBER($A227)),$D227=""),"",IF($J227="Levée",$I227-$A227,TODAY()-$A227))</f>
      </c>
    </row>
    <row r="228" spans="1:11" x14ac:dyDescent="0.25">
      <c r="A228" s="24"/>
      <c r="B228" s="9"/>
      <c r="C228" s="20">
        <f>IF($B228="","",IFERROR(INDEX(Parc!$B$2:$B$301,MATCH($B228,Parc!$A$2:$A$301,0)),"Réf. inconnue"))</f>
      </c>
      <c r="D228" s="9"/>
      <c r="E228" s="23"/>
      <c r="F228" s="9"/>
      <c r="G228" s="9"/>
      <c r="H228" s="24"/>
      <c r="I228" s="24"/>
      <c r="J228" s="22">
        <f>IF($D228="","",IF(AND(ISNUMBER($I228),$I228&lt;=TODAY()),"Levée",IF(AND(ISNUMBER($H228),$H228&lt;TODAY()),"En retard","Ouverte")))</f>
      </c>
      <c r="K228" s="21">
        <f>IF(OR(NOT(ISNUMBER($A228)),$D228=""),"",IF($J228="Levée",$I228-$A228,TODAY()-$A228))</f>
      </c>
    </row>
    <row r="229" spans="1:11" x14ac:dyDescent="0.25">
      <c r="A229" s="24"/>
      <c r="B229" s="9"/>
      <c r="C229" s="20">
        <f>IF($B229="","",IFERROR(INDEX(Parc!$B$2:$B$301,MATCH($B229,Parc!$A$2:$A$301,0)),"Réf. inconnue"))</f>
      </c>
      <c r="D229" s="9"/>
      <c r="E229" s="23"/>
      <c r="F229" s="9"/>
      <c r="G229" s="9"/>
      <c r="H229" s="24"/>
      <c r="I229" s="24"/>
      <c r="J229" s="22">
        <f>IF($D229="","",IF(AND(ISNUMBER($I229),$I229&lt;=TODAY()),"Levée",IF(AND(ISNUMBER($H229),$H229&lt;TODAY()),"En retard","Ouverte")))</f>
      </c>
      <c r="K229" s="21">
        <f>IF(OR(NOT(ISNUMBER($A229)),$D229=""),"",IF($J229="Levée",$I229-$A229,TODAY()-$A229))</f>
      </c>
    </row>
    <row r="230" spans="1:11" x14ac:dyDescent="0.25">
      <c r="A230" s="24"/>
      <c r="B230" s="9"/>
      <c r="C230" s="20">
        <f>IF($B230="","",IFERROR(INDEX(Parc!$B$2:$B$301,MATCH($B230,Parc!$A$2:$A$301,0)),"Réf. inconnue"))</f>
      </c>
      <c r="D230" s="9"/>
      <c r="E230" s="23"/>
      <c r="F230" s="9"/>
      <c r="G230" s="9"/>
      <c r="H230" s="24"/>
      <c r="I230" s="24"/>
      <c r="J230" s="22">
        <f>IF($D230="","",IF(AND(ISNUMBER($I230),$I230&lt;=TODAY()),"Levée",IF(AND(ISNUMBER($H230),$H230&lt;TODAY()),"En retard","Ouverte")))</f>
      </c>
      <c r="K230" s="21">
        <f>IF(OR(NOT(ISNUMBER($A230)),$D230=""),"",IF($J230="Levée",$I230-$A230,TODAY()-$A230))</f>
      </c>
    </row>
    <row r="231" spans="1:11" x14ac:dyDescent="0.25">
      <c r="A231" s="24"/>
      <c r="B231" s="9"/>
      <c r="C231" s="20">
        <f>IF($B231="","",IFERROR(INDEX(Parc!$B$2:$B$301,MATCH($B231,Parc!$A$2:$A$301,0)),"Réf. inconnue"))</f>
      </c>
      <c r="D231" s="9"/>
      <c r="E231" s="23"/>
      <c r="F231" s="9"/>
      <c r="G231" s="9"/>
      <c r="H231" s="24"/>
      <c r="I231" s="24"/>
      <c r="J231" s="22">
        <f>IF($D231="","",IF(AND(ISNUMBER($I231),$I231&lt;=TODAY()),"Levée",IF(AND(ISNUMBER($H231),$H231&lt;TODAY()),"En retard","Ouverte")))</f>
      </c>
      <c r="K231" s="21">
        <f>IF(OR(NOT(ISNUMBER($A231)),$D231=""),"",IF($J231="Levée",$I231-$A231,TODAY()-$A231))</f>
      </c>
    </row>
    <row r="232" spans="1:11" x14ac:dyDescent="0.25">
      <c r="A232" s="24"/>
      <c r="B232" s="9"/>
      <c r="C232" s="20">
        <f>IF($B232="","",IFERROR(INDEX(Parc!$B$2:$B$301,MATCH($B232,Parc!$A$2:$A$301,0)),"Réf. inconnue"))</f>
      </c>
      <c r="D232" s="9"/>
      <c r="E232" s="23"/>
      <c r="F232" s="9"/>
      <c r="G232" s="9"/>
      <c r="H232" s="24"/>
      <c r="I232" s="24"/>
      <c r="J232" s="22">
        <f>IF($D232="","",IF(AND(ISNUMBER($I232),$I232&lt;=TODAY()),"Levée",IF(AND(ISNUMBER($H232),$H232&lt;TODAY()),"En retard","Ouverte")))</f>
      </c>
      <c r="K232" s="21">
        <f>IF(OR(NOT(ISNUMBER($A232)),$D232=""),"",IF($J232="Levée",$I232-$A232,TODAY()-$A232))</f>
      </c>
    </row>
    <row r="233" spans="1:11" x14ac:dyDescent="0.25">
      <c r="A233" s="24"/>
      <c r="B233" s="9"/>
      <c r="C233" s="20">
        <f>IF($B233="","",IFERROR(INDEX(Parc!$B$2:$B$301,MATCH($B233,Parc!$A$2:$A$301,0)),"Réf. inconnue"))</f>
      </c>
      <c r="D233" s="9"/>
      <c r="E233" s="23"/>
      <c r="F233" s="9"/>
      <c r="G233" s="9"/>
      <c r="H233" s="24"/>
      <c r="I233" s="24"/>
      <c r="J233" s="22">
        <f>IF($D233="","",IF(AND(ISNUMBER($I233),$I233&lt;=TODAY()),"Levée",IF(AND(ISNUMBER($H233),$H233&lt;TODAY()),"En retard","Ouverte")))</f>
      </c>
      <c r="K233" s="21">
        <f>IF(OR(NOT(ISNUMBER($A233)),$D233=""),"",IF($J233="Levée",$I233-$A233,TODAY()-$A233))</f>
      </c>
    </row>
    <row r="234" spans="1:11" x14ac:dyDescent="0.25">
      <c r="A234" s="24"/>
      <c r="B234" s="9"/>
      <c r="C234" s="20">
        <f>IF($B234="","",IFERROR(INDEX(Parc!$B$2:$B$301,MATCH($B234,Parc!$A$2:$A$301,0)),"Réf. inconnue"))</f>
      </c>
      <c r="D234" s="9"/>
      <c r="E234" s="23"/>
      <c r="F234" s="9"/>
      <c r="G234" s="9"/>
      <c r="H234" s="24"/>
      <c r="I234" s="24"/>
      <c r="J234" s="22">
        <f>IF($D234="","",IF(AND(ISNUMBER($I234),$I234&lt;=TODAY()),"Levée",IF(AND(ISNUMBER($H234),$H234&lt;TODAY()),"En retard","Ouverte")))</f>
      </c>
      <c r="K234" s="21">
        <f>IF(OR(NOT(ISNUMBER($A234)),$D234=""),"",IF($J234="Levée",$I234-$A234,TODAY()-$A234))</f>
      </c>
    </row>
    <row r="235" spans="1:11" x14ac:dyDescent="0.25">
      <c r="A235" s="24"/>
      <c r="B235" s="9"/>
      <c r="C235" s="20">
        <f>IF($B235="","",IFERROR(INDEX(Parc!$B$2:$B$301,MATCH($B235,Parc!$A$2:$A$301,0)),"Réf. inconnue"))</f>
      </c>
      <c r="D235" s="9"/>
      <c r="E235" s="23"/>
      <c r="F235" s="9"/>
      <c r="G235" s="9"/>
      <c r="H235" s="24"/>
      <c r="I235" s="24"/>
      <c r="J235" s="22">
        <f>IF($D235="","",IF(AND(ISNUMBER($I235),$I235&lt;=TODAY()),"Levée",IF(AND(ISNUMBER($H235),$H235&lt;TODAY()),"En retard","Ouverte")))</f>
      </c>
      <c r="K235" s="21">
        <f>IF(OR(NOT(ISNUMBER($A235)),$D235=""),"",IF($J235="Levée",$I235-$A235,TODAY()-$A235))</f>
      </c>
    </row>
    <row r="236" spans="1:11" x14ac:dyDescent="0.25">
      <c r="A236" s="24"/>
      <c r="B236" s="9"/>
      <c r="C236" s="20">
        <f>IF($B236="","",IFERROR(INDEX(Parc!$B$2:$B$301,MATCH($B236,Parc!$A$2:$A$301,0)),"Réf. inconnue"))</f>
      </c>
      <c r="D236" s="9"/>
      <c r="E236" s="23"/>
      <c r="F236" s="9"/>
      <c r="G236" s="9"/>
      <c r="H236" s="24"/>
      <c r="I236" s="24"/>
      <c r="J236" s="22">
        <f>IF($D236="","",IF(AND(ISNUMBER($I236),$I236&lt;=TODAY()),"Levée",IF(AND(ISNUMBER($H236),$H236&lt;TODAY()),"En retard","Ouverte")))</f>
      </c>
      <c r="K236" s="21">
        <f>IF(OR(NOT(ISNUMBER($A236)),$D236=""),"",IF($J236="Levée",$I236-$A236,TODAY()-$A236))</f>
      </c>
    </row>
    <row r="237" spans="1:11" x14ac:dyDescent="0.25">
      <c r="A237" s="24"/>
      <c r="B237" s="9"/>
      <c r="C237" s="20">
        <f>IF($B237="","",IFERROR(INDEX(Parc!$B$2:$B$301,MATCH($B237,Parc!$A$2:$A$301,0)),"Réf. inconnue"))</f>
      </c>
      <c r="D237" s="9"/>
      <c r="E237" s="23"/>
      <c r="F237" s="9"/>
      <c r="G237" s="9"/>
      <c r="H237" s="24"/>
      <c r="I237" s="24"/>
      <c r="J237" s="22">
        <f>IF($D237="","",IF(AND(ISNUMBER($I237),$I237&lt;=TODAY()),"Levée",IF(AND(ISNUMBER($H237),$H237&lt;TODAY()),"En retard","Ouverte")))</f>
      </c>
      <c r="K237" s="21">
        <f>IF(OR(NOT(ISNUMBER($A237)),$D237=""),"",IF($J237="Levée",$I237-$A237,TODAY()-$A237))</f>
      </c>
    </row>
    <row r="238" spans="1:11" x14ac:dyDescent="0.25">
      <c r="A238" s="24"/>
      <c r="B238" s="9"/>
      <c r="C238" s="20">
        <f>IF($B238="","",IFERROR(INDEX(Parc!$B$2:$B$301,MATCH($B238,Parc!$A$2:$A$301,0)),"Réf. inconnue"))</f>
      </c>
      <c r="D238" s="9"/>
      <c r="E238" s="23"/>
      <c r="F238" s="9"/>
      <c r="G238" s="9"/>
      <c r="H238" s="24"/>
      <c r="I238" s="24"/>
      <c r="J238" s="22">
        <f>IF($D238="","",IF(AND(ISNUMBER($I238),$I238&lt;=TODAY()),"Levée",IF(AND(ISNUMBER($H238),$H238&lt;TODAY()),"En retard","Ouverte")))</f>
      </c>
      <c r="K238" s="21">
        <f>IF(OR(NOT(ISNUMBER($A238)),$D238=""),"",IF($J238="Levée",$I238-$A238,TODAY()-$A238))</f>
      </c>
    </row>
    <row r="239" spans="1:11" x14ac:dyDescent="0.25">
      <c r="A239" s="24"/>
      <c r="B239" s="9"/>
      <c r="C239" s="20">
        <f>IF($B239="","",IFERROR(INDEX(Parc!$B$2:$B$301,MATCH($B239,Parc!$A$2:$A$301,0)),"Réf. inconnue"))</f>
      </c>
      <c r="D239" s="9"/>
      <c r="E239" s="23"/>
      <c r="F239" s="9"/>
      <c r="G239" s="9"/>
      <c r="H239" s="24"/>
      <c r="I239" s="24"/>
      <c r="J239" s="22">
        <f>IF($D239="","",IF(AND(ISNUMBER($I239),$I239&lt;=TODAY()),"Levée",IF(AND(ISNUMBER($H239),$H239&lt;TODAY()),"En retard","Ouverte")))</f>
      </c>
      <c r="K239" s="21">
        <f>IF(OR(NOT(ISNUMBER($A239)),$D239=""),"",IF($J239="Levée",$I239-$A239,TODAY()-$A239))</f>
      </c>
    </row>
    <row r="240" spans="1:11" x14ac:dyDescent="0.25">
      <c r="A240" s="24"/>
      <c r="B240" s="9"/>
      <c r="C240" s="20">
        <f>IF($B240="","",IFERROR(INDEX(Parc!$B$2:$B$301,MATCH($B240,Parc!$A$2:$A$301,0)),"Réf. inconnue"))</f>
      </c>
      <c r="D240" s="9"/>
      <c r="E240" s="23"/>
      <c r="F240" s="9"/>
      <c r="G240" s="9"/>
      <c r="H240" s="24"/>
      <c r="I240" s="24"/>
      <c r="J240" s="22">
        <f>IF($D240="","",IF(AND(ISNUMBER($I240),$I240&lt;=TODAY()),"Levée",IF(AND(ISNUMBER($H240),$H240&lt;TODAY()),"En retard","Ouverte")))</f>
      </c>
      <c r="K240" s="21">
        <f>IF(OR(NOT(ISNUMBER($A240)),$D240=""),"",IF($J240="Levée",$I240-$A240,TODAY()-$A240))</f>
      </c>
    </row>
    <row r="241" spans="1:11" x14ac:dyDescent="0.25">
      <c r="A241" s="24"/>
      <c r="B241" s="9"/>
      <c r="C241" s="20">
        <f>IF($B241="","",IFERROR(INDEX(Parc!$B$2:$B$301,MATCH($B241,Parc!$A$2:$A$301,0)),"Réf. inconnue"))</f>
      </c>
      <c r="D241" s="9"/>
      <c r="E241" s="23"/>
      <c r="F241" s="9"/>
      <c r="G241" s="9"/>
      <c r="H241" s="24"/>
      <c r="I241" s="24"/>
      <c r="J241" s="22">
        <f>IF($D241="","",IF(AND(ISNUMBER($I241),$I241&lt;=TODAY()),"Levée",IF(AND(ISNUMBER($H241),$H241&lt;TODAY()),"En retard","Ouverte")))</f>
      </c>
      <c r="K241" s="21">
        <f>IF(OR(NOT(ISNUMBER($A241)),$D241=""),"",IF($J241="Levée",$I241-$A241,TODAY()-$A241))</f>
      </c>
    </row>
    <row r="242" spans="1:11" x14ac:dyDescent="0.25">
      <c r="A242" s="24"/>
      <c r="B242" s="9"/>
      <c r="C242" s="20">
        <f>IF($B242="","",IFERROR(INDEX(Parc!$B$2:$B$301,MATCH($B242,Parc!$A$2:$A$301,0)),"Réf. inconnue"))</f>
      </c>
      <c r="D242" s="9"/>
      <c r="E242" s="23"/>
      <c r="F242" s="9"/>
      <c r="G242" s="9"/>
      <c r="H242" s="24"/>
      <c r="I242" s="24"/>
      <c r="J242" s="22">
        <f>IF($D242="","",IF(AND(ISNUMBER($I242),$I242&lt;=TODAY()),"Levée",IF(AND(ISNUMBER($H242),$H242&lt;TODAY()),"En retard","Ouverte")))</f>
      </c>
      <c r="K242" s="21">
        <f>IF(OR(NOT(ISNUMBER($A242)),$D242=""),"",IF($J242="Levée",$I242-$A242,TODAY()-$A242))</f>
      </c>
    </row>
    <row r="243" spans="1:11" x14ac:dyDescent="0.25">
      <c r="A243" s="24"/>
      <c r="B243" s="9"/>
      <c r="C243" s="20">
        <f>IF($B243="","",IFERROR(INDEX(Parc!$B$2:$B$301,MATCH($B243,Parc!$A$2:$A$301,0)),"Réf. inconnue"))</f>
      </c>
      <c r="D243" s="9"/>
      <c r="E243" s="23"/>
      <c r="F243" s="9"/>
      <c r="G243" s="9"/>
      <c r="H243" s="24"/>
      <c r="I243" s="24"/>
      <c r="J243" s="22">
        <f>IF($D243="","",IF(AND(ISNUMBER($I243),$I243&lt;=TODAY()),"Levée",IF(AND(ISNUMBER($H243),$H243&lt;TODAY()),"En retard","Ouverte")))</f>
      </c>
      <c r="K243" s="21">
        <f>IF(OR(NOT(ISNUMBER($A243)),$D243=""),"",IF($J243="Levée",$I243-$A243,TODAY()-$A243))</f>
      </c>
    </row>
    <row r="244" spans="1:11" x14ac:dyDescent="0.25">
      <c r="A244" s="24"/>
      <c r="B244" s="9"/>
      <c r="C244" s="20">
        <f>IF($B244="","",IFERROR(INDEX(Parc!$B$2:$B$301,MATCH($B244,Parc!$A$2:$A$301,0)),"Réf. inconnue"))</f>
      </c>
      <c r="D244" s="9"/>
      <c r="E244" s="23"/>
      <c r="F244" s="9"/>
      <c r="G244" s="9"/>
      <c r="H244" s="24"/>
      <c r="I244" s="24"/>
      <c r="J244" s="22">
        <f>IF($D244="","",IF(AND(ISNUMBER($I244),$I244&lt;=TODAY()),"Levée",IF(AND(ISNUMBER($H244),$H244&lt;TODAY()),"En retard","Ouverte")))</f>
      </c>
      <c r="K244" s="21">
        <f>IF(OR(NOT(ISNUMBER($A244)),$D244=""),"",IF($J244="Levée",$I244-$A244,TODAY()-$A244))</f>
      </c>
    </row>
    <row r="245" spans="1:11" x14ac:dyDescent="0.25">
      <c r="A245" s="24"/>
      <c r="B245" s="9"/>
      <c r="C245" s="20">
        <f>IF($B245="","",IFERROR(INDEX(Parc!$B$2:$B$301,MATCH($B245,Parc!$A$2:$A$301,0)),"Réf. inconnue"))</f>
      </c>
      <c r="D245" s="9"/>
      <c r="E245" s="23"/>
      <c r="F245" s="9"/>
      <c r="G245" s="9"/>
      <c r="H245" s="24"/>
      <c r="I245" s="24"/>
      <c r="J245" s="22">
        <f>IF($D245="","",IF(AND(ISNUMBER($I245),$I245&lt;=TODAY()),"Levée",IF(AND(ISNUMBER($H245),$H245&lt;TODAY()),"En retard","Ouverte")))</f>
      </c>
      <c r="K245" s="21">
        <f>IF(OR(NOT(ISNUMBER($A245)),$D245=""),"",IF($J245="Levée",$I245-$A245,TODAY()-$A245))</f>
      </c>
    </row>
    <row r="246" spans="1:11" x14ac:dyDescent="0.25">
      <c r="A246" s="24"/>
      <c r="B246" s="9"/>
      <c r="C246" s="20">
        <f>IF($B246="","",IFERROR(INDEX(Parc!$B$2:$B$301,MATCH($B246,Parc!$A$2:$A$301,0)),"Réf. inconnue"))</f>
      </c>
      <c r="D246" s="9"/>
      <c r="E246" s="23"/>
      <c r="F246" s="9"/>
      <c r="G246" s="9"/>
      <c r="H246" s="24"/>
      <c r="I246" s="24"/>
      <c r="J246" s="22">
        <f>IF($D246="","",IF(AND(ISNUMBER($I246),$I246&lt;=TODAY()),"Levée",IF(AND(ISNUMBER($H246),$H246&lt;TODAY()),"En retard","Ouverte")))</f>
      </c>
      <c r="K246" s="21">
        <f>IF(OR(NOT(ISNUMBER($A246)),$D246=""),"",IF($J246="Levée",$I246-$A246,TODAY()-$A246))</f>
      </c>
    </row>
    <row r="247" spans="1:11" x14ac:dyDescent="0.25">
      <c r="A247" s="24"/>
      <c r="B247" s="9"/>
      <c r="C247" s="20">
        <f>IF($B247="","",IFERROR(INDEX(Parc!$B$2:$B$301,MATCH($B247,Parc!$A$2:$A$301,0)),"Réf. inconnue"))</f>
      </c>
      <c r="D247" s="9"/>
      <c r="E247" s="23"/>
      <c r="F247" s="9"/>
      <c r="G247" s="9"/>
      <c r="H247" s="24"/>
      <c r="I247" s="24"/>
      <c r="J247" s="22">
        <f>IF($D247="","",IF(AND(ISNUMBER($I247),$I247&lt;=TODAY()),"Levée",IF(AND(ISNUMBER($H247),$H247&lt;TODAY()),"En retard","Ouverte")))</f>
      </c>
      <c r="K247" s="21">
        <f>IF(OR(NOT(ISNUMBER($A247)),$D247=""),"",IF($J247="Levée",$I247-$A247,TODAY()-$A247))</f>
      </c>
    </row>
    <row r="248" spans="1:11" x14ac:dyDescent="0.25">
      <c r="A248" s="24"/>
      <c r="B248" s="9"/>
      <c r="C248" s="20">
        <f>IF($B248="","",IFERROR(INDEX(Parc!$B$2:$B$301,MATCH($B248,Parc!$A$2:$A$301,0)),"Réf. inconnue"))</f>
      </c>
      <c r="D248" s="9"/>
      <c r="E248" s="23"/>
      <c r="F248" s="9"/>
      <c r="G248" s="9"/>
      <c r="H248" s="24"/>
      <c r="I248" s="24"/>
      <c r="J248" s="22">
        <f>IF($D248="","",IF(AND(ISNUMBER($I248),$I248&lt;=TODAY()),"Levée",IF(AND(ISNUMBER($H248),$H248&lt;TODAY()),"En retard","Ouverte")))</f>
      </c>
      <c r="K248" s="21">
        <f>IF(OR(NOT(ISNUMBER($A248)),$D248=""),"",IF($J248="Levée",$I248-$A248,TODAY()-$A248))</f>
      </c>
    </row>
    <row r="249" spans="1:11" x14ac:dyDescent="0.25">
      <c r="A249" s="24"/>
      <c r="B249" s="9"/>
      <c r="C249" s="20">
        <f>IF($B249="","",IFERROR(INDEX(Parc!$B$2:$B$301,MATCH($B249,Parc!$A$2:$A$301,0)),"Réf. inconnue"))</f>
      </c>
      <c r="D249" s="9"/>
      <c r="E249" s="23"/>
      <c r="F249" s="9"/>
      <c r="G249" s="9"/>
      <c r="H249" s="24"/>
      <c r="I249" s="24"/>
      <c r="J249" s="22">
        <f>IF($D249="","",IF(AND(ISNUMBER($I249),$I249&lt;=TODAY()),"Levée",IF(AND(ISNUMBER($H249),$H249&lt;TODAY()),"En retard","Ouverte")))</f>
      </c>
      <c r="K249" s="21">
        <f>IF(OR(NOT(ISNUMBER($A249)),$D249=""),"",IF($J249="Levée",$I249-$A249,TODAY()-$A249))</f>
      </c>
    </row>
    <row r="250" spans="1:11" x14ac:dyDescent="0.25">
      <c r="A250" s="24"/>
      <c r="B250" s="9"/>
      <c r="C250" s="20">
        <f>IF($B250="","",IFERROR(INDEX(Parc!$B$2:$B$301,MATCH($B250,Parc!$A$2:$A$301,0)),"Réf. inconnue"))</f>
      </c>
      <c r="D250" s="9"/>
      <c r="E250" s="23"/>
      <c r="F250" s="9"/>
      <c r="G250" s="9"/>
      <c r="H250" s="24"/>
      <c r="I250" s="24"/>
      <c r="J250" s="22">
        <f>IF($D250="","",IF(AND(ISNUMBER($I250),$I250&lt;=TODAY()),"Levée",IF(AND(ISNUMBER($H250),$H250&lt;TODAY()),"En retard","Ouverte")))</f>
      </c>
      <c r="K250" s="21">
        <f>IF(OR(NOT(ISNUMBER($A250)),$D250=""),"",IF($J250="Levée",$I250-$A250,TODAY()-$A250))</f>
      </c>
    </row>
    <row r="251" spans="1:11" x14ac:dyDescent="0.25">
      <c r="A251" s="24"/>
      <c r="B251" s="9"/>
      <c r="C251" s="20">
        <f>IF($B251="","",IFERROR(INDEX(Parc!$B$2:$B$301,MATCH($B251,Parc!$A$2:$A$301,0)),"Réf. inconnue"))</f>
      </c>
      <c r="D251" s="9"/>
      <c r="E251" s="23"/>
      <c r="F251" s="9"/>
      <c r="G251" s="9"/>
      <c r="H251" s="24"/>
      <c r="I251" s="24"/>
      <c r="J251" s="22">
        <f>IF($D251="","",IF(AND(ISNUMBER($I251),$I251&lt;=TODAY()),"Levée",IF(AND(ISNUMBER($H251),$H251&lt;TODAY()),"En retard","Ouverte")))</f>
      </c>
      <c r="K251" s="21">
        <f>IF(OR(NOT(ISNUMBER($A251)),$D251=""),"",IF($J251="Levée",$I251-$A251,TODAY()-$A251))</f>
      </c>
    </row>
    <row r="252" spans="1:11" x14ac:dyDescent="0.25">
      <c r="A252" s="24"/>
      <c r="B252" s="9"/>
      <c r="C252" s="20">
        <f>IF($B252="","",IFERROR(INDEX(Parc!$B$2:$B$301,MATCH($B252,Parc!$A$2:$A$301,0)),"Réf. inconnue"))</f>
      </c>
      <c r="D252" s="9"/>
      <c r="E252" s="23"/>
      <c r="F252" s="9"/>
      <c r="G252" s="9"/>
      <c r="H252" s="24"/>
      <c r="I252" s="24"/>
      <c r="J252" s="22">
        <f>IF($D252="","",IF(AND(ISNUMBER($I252),$I252&lt;=TODAY()),"Levée",IF(AND(ISNUMBER($H252),$H252&lt;TODAY()),"En retard","Ouverte")))</f>
      </c>
      <c r="K252" s="21">
        <f>IF(OR(NOT(ISNUMBER($A252)),$D252=""),"",IF($J252="Levée",$I252-$A252,TODAY()-$A252))</f>
      </c>
    </row>
    <row r="253" spans="1:11" x14ac:dyDescent="0.25">
      <c r="A253" s="24"/>
      <c r="B253" s="9"/>
      <c r="C253" s="20">
        <f>IF($B253="","",IFERROR(INDEX(Parc!$B$2:$B$301,MATCH($B253,Parc!$A$2:$A$301,0)),"Réf. inconnue"))</f>
      </c>
      <c r="D253" s="9"/>
      <c r="E253" s="23"/>
      <c r="F253" s="9"/>
      <c r="G253" s="9"/>
      <c r="H253" s="24"/>
      <c r="I253" s="24"/>
      <c r="J253" s="22">
        <f>IF($D253="","",IF(AND(ISNUMBER($I253),$I253&lt;=TODAY()),"Levée",IF(AND(ISNUMBER($H253),$H253&lt;TODAY()),"En retard","Ouverte")))</f>
      </c>
      <c r="K253" s="21">
        <f>IF(OR(NOT(ISNUMBER($A253)),$D253=""),"",IF($J253="Levée",$I253-$A253,TODAY()-$A253))</f>
      </c>
    </row>
    <row r="254" spans="1:11" x14ac:dyDescent="0.25">
      <c r="A254" s="24"/>
      <c r="B254" s="9"/>
      <c r="C254" s="20">
        <f>IF($B254="","",IFERROR(INDEX(Parc!$B$2:$B$301,MATCH($B254,Parc!$A$2:$A$301,0)),"Réf. inconnue"))</f>
      </c>
      <c r="D254" s="9"/>
      <c r="E254" s="23"/>
      <c r="F254" s="9"/>
      <c r="G254" s="9"/>
      <c r="H254" s="24"/>
      <c r="I254" s="24"/>
      <c r="J254" s="22">
        <f>IF($D254="","",IF(AND(ISNUMBER($I254),$I254&lt;=TODAY()),"Levée",IF(AND(ISNUMBER($H254),$H254&lt;TODAY()),"En retard","Ouverte")))</f>
      </c>
      <c r="K254" s="21">
        <f>IF(OR(NOT(ISNUMBER($A254)),$D254=""),"",IF($J254="Levée",$I254-$A254,TODAY()-$A254))</f>
      </c>
    </row>
    <row r="255" spans="1:11" x14ac:dyDescent="0.25">
      <c r="A255" s="24"/>
      <c r="B255" s="9"/>
      <c r="C255" s="20">
        <f>IF($B255="","",IFERROR(INDEX(Parc!$B$2:$B$301,MATCH($B255,Parc!$A$2:$A$301,0)),"Réf. inconnue"))</f>
      </c>
      <c r="D255" s="9"/>
      <c r="E255" s="23"/>
      <c r="F255" s="9"/>
      <c r="G255" s="9"/>
      <c r="H255" s="24"/>
      <c r="I255" s="24"/>
      <c r="J255" s="22">
        <f>IF($D255="","",IF(AND(ISNUMBER($I255),$I255&lt;=TODAY()),"Levée",IF(AND(ISNUMBER($H255),$H255&lt;TODAY()),"En retard","Ouverte")))</f>
      </c>
      <c r="K255" s="21">
        <f>IF(OR(NOT(ISNUMBER($A255)),$D255=""),"",IF($J255="Levée",$I255-$A255,TODAY()-$A255))</f>
      </c>
    </row>
    <row r="256" spans="1:11" x14ac:dyDescent="0.25">
      <c r="A256" s="24"/>
      <c r="B256" s="9"/>
      <c r="C256" s="20">
        <f>IF($B256="","",IFERROR(INDEX(Parc!$B$2:$B$301,MATCH($B256,Parc!$A$2:$A$301,0)),"Réf. inconnue"))</f>
      </c>
      <c r="D256" s="9"/>
      <c r="E256" s="23"/>
      <c r="F256" s="9"/>
      <c r="G256" s="9"/>
      <c r="H256" s="24"/>
      <c r="I256" s="24"/>
      <c r="J256" s="22">
        <f>IF($D256="","",IF(AND(ISNUMBER($I256),$I256&lt;=TODAY()),"Levée",IF(AND(ISNUMBER($H256),$H256&lt;TODAY()),"En retard","Ouverte")))</f>
      </c>
      <c r="K256" s="21">
        <f>IF(OR(NOT(ISNUMBER($A256)),$D256=""),"",IF($J256="Levée",$I256-$A256,TODAY()-$A256))</f>
      </c>
    </row>
    <row r="257" spans="1:11" x14ac:dyDescent="0.25">
      <c r="A257" s="24"/>
      <c r="B257" s="9"/>
      <c r="C257" s="20">
        <f>IF($B257="","",IFERROR(INDEX(Parc!$B$2:$B$301,MATCH($B257,Parc!$A$2:$A$301,0)),"Réf. inconnue"))</f>
      </c>
      <c r="D257" s="9"/>
      <c r="E257" s="23"/>
      <c r="F257" s="9"/>
      <c r="G257" s="9"/>
      <c r="H257" s="24"/>
      <c r="I257" s="24"/>
      <c r="J257" s="22">
        <f>IF($D257="","",IF(AND(ISNUMBER($I257),$I257&lt;=TODAY()),"Levée",IF(AND(ISNUMBER($H257),$H257&lt;TODAY()),"En retard","Ouverte")))</f>
      </c>
      <c r="K257" s="21">
        <f>IF(OR(NOT(ISNUMBER($A257)),$D257=""),"",IF($J257="Levée",$I257-$A257,TODAY()-$A257))</f>
      </c>
    </row>
    <row r="258" spans="1:11" x14ac:dyDescent="0.25">
      <c r="A258" s="24"/>
      <c r="B258" s="9"/>
      <c r="C258" s="20">
        <f>IF($B258="","",IFERROR(INDEX(Parc!$B$2:$B$301,MATCH($B258,Parc!$A$2:$A$301,0)),"Réf. inconnue"))</f>
      </c>
      <c r="D258" s="9"/>
      <c r="E258" s="23"/>
      <c r="F258" s="9"/>
      <c r="G258" s="9"/>
      <c r="H258" s="24"/>
      <c r="I258" s="24"/>
      <c r="J258" s="22">
        <f>IF($D258="","",IF(AND(ISNUMBER($I258),$I258&lt;=TODAY()),"Levée",IF(AND(ISNUMBER($H258),$H258&lt;TODAY()),"En retard","Ouverte")))</f>
      </c>
      <c r="K258" s="21">
        <f>IF(OR(NOT(ISNUMBER($A258)),$D258=""),"",IF($J258="Levée",$I258-$A258,TODAY()-$A258))</f>
      </c>
    </row>
    <row r="259" spans="1:11" x14ac:dyDescent="0.25">
      <c r="A259" s="24"/>
      <c r="B259" s="9"/>
      <c r="C259" s="20">
        <f>IF($B259="","",IFERROR(INDEX(Parc!$B$2:$B$301,MATCH($B259,Parc!$A$2:$A$301,0)),"Réf. inconnue"))</f>
      </c>
      <c r="D259" s="9"/>
      <c r="E259" s="23"/>
      <c r="F259" s="9"/>
      <c r="G259" s="9"/>
      <c r="H259" s="24"/>
      <c r="I259" s="24"/>
      <c r="J259" s="22">
        <f>IF($D259="","",IF(AND(ISNUMBER($I259),$I259&lt;=TODAY()),"Levée",IF(AND(ISNUMBER($H259),$H259&lt;TODAY()),"En retard","Ouverte")))</f>
      </c>
      <c r="K259" s="21">
        <f>IF(OR(NOT(ISNUMBER($A259)),$D259=""),"",IF($J259="Levée",$I259-$A259,TODAY()-$A259))</f>
      </c>
    </row>
    <row r="260" spans="1:11" x14ac:dyDescent="0.25">
      <c r="A260" s="24"/>
      <c r="B260" s="9"/>
      <c r="C260" s="20">
        <f>IF($B260="","",IFERROR(INDEX(Parc!$B$2:$B$301,MATCH($B260,Parc!$A$2:$A$301,0)),"Réf. inconnue"))</f>
      </c>
      <c r="D260" s="9"/>
      <c r="E260" s="23"/>
      <c r="F260" s="9"/>
      <c r="G260" s="9"/>
      <c r="H260" s="24"/>
      <c r="I260" s="24"/>
      <c r="J260" s="22">
        <f>IF($D260="","",IF(AND(ISNUMBER($I260),$I260&lt;=TODAY()),"Levée",IF(AND(ISNUMBER($H260),$H260&lt;TODAY()),"En retard","Ouverte")))</f>
      </c>
      <c r="K260" s="21">
        <f>IF(OR(NOT(ISNUMBER($A260)),$D260=""),"",IF($J260="Levée",$I260-$A260,TODAY()-$A260))</f>
      </c>
    </row>
    <row r="261" spans="1:11" x14ac:dyDescent="0.25">
      <c r="A261" s="24"/>
      <c r="B261" s="9"/>
      <c r="C261" s="20">
        <f>IF($B261="","",IFERROR(INDEX(Parc!$B$2:$B$301,MATCH($B261,Parc!$A$2:$A$301,0)),"Réf. inconnue"))</f>
      </c>
      <c r="D261" s="9"/>
      <c r="E261" s="23"/>
      <c r="F261" s="9"/>
      <c r="G261" s="9"/>
      <c r="H261" s="24"/>
      <c r="I261" s="24"/>
      <c r="J261" s="22">
        <f>IF($D261="","",IF(AND(ISNUMBER($I261),$I261&lt;=TODAY()),"Levée",IF(AND(ISNUMBER($H261),$H261&lt;TODAY()),"En retard","Ouverte")))</f>
      </c>
      <c r="K261" s="21">
        <f>IF(OR(NOT(ISNUMBER($A261)),$D261=""),"",IF($J261="Levée",$I261-$A261,TODAY()-$A261))</f>
      </c>
    </row>
    <row r="262" spans="1:11" x14ac:dyDescent="0.25">
      <c r="A262" s="24"/>
      <c r="B262" s="9"/>
      <c r="C262" s="20">
        <f>IF($B262="","",IFERROR(INDEX(Parc!$B$2:$B$301,MATCH($B262,Parc!$A$2:$A$301,0)),"Réf. inconnue"))</f>
      </c>
      <c r="D262" s="9"/>
      <c r="E262" s="23"/>
      <c r="F262" s="9"/>
      <c r="G262" s="9"/>
      <c r="H262" s="24"/>
      <c r="I262" s="24"/>
      <c r="J262" s="22">
        <f>IF($D262="","",IF(AND(ISNUMBER($I262),$I262&lt;=TODAY()),"Levée",IF(AND(ISNUMBER($H262),$H262&lt;TODAY()),"En retard","Ouverte")))</f>
      </c>
      <c r="K262" s="21">
        <f>IF(OR(NOT(ISNUMBER($A262)),$D262=""),"",IF($J262="Levée",$I262-$A262,TODAY()-$A262))</f>
      </c>
    </row>
    <row r="263" spans="1:11" x14ac:dyDescent="0.25">
      <c r="A263" s="24"/>
      <c r="B263" s="9"/>
      <c r="C263" s="20">
        <f>IF($B263="","",IFERROR(INDEX(Parc!$B$2:$B$301,MATCH($B263,Parc!$A$2:$A$301,0)),"Réf. inconnue"))</f>
      </c>
      <c r="D263" s="9"/>
      <c r="E263" s="23"/>
      <c r="F263" s="9"/>
      <c r="G263" s="9"/>
      <c r="H263" s="24"/>
      <c r="I263" s="24"/>
      <c r="J263" s="22">
        <f>IF($D263="","",IF(AND(ISNUMBER($I263),$I263&lt;=TODAY()),"Levée",IF(AND(ISNUMBER($H263),$H263&lt;TODAY()),"En retard","Ouverte")))</f>
      </c>
      <c r="K263" s="21">
        <f>IF(OR(NOT(ISNUMBER($A263)),$D263=""),"",IF($J263="Levée",$I263-$A263,TODAY()-$A263))</f>
      </c>
    </row>
    <row r="264" spans="1:11" x14ac:dyDescent="0.25">
      <c r="A264" s="24"/>
      <c r="B264" s="9"/>
      <c r="C264" s="20">
        <f>IF($B264="","",IFERROR(INDEX(Parc!$B$2:$B$301,MATCH($B264,Parc!$A$2:$A$301,0)),"Réf. inconnue"))</f>
      </c>
      <c r="D264" s="9"/>
      <c r="E264" s="23"/>
      <c r="F264" s="9"/>
      <c r="G264" s="9"/>
      <c r="H264" s="24"/>
      <c r="I264" s="24"/>
      <c r="J264" s="22">
        <f>IF($D264="","",IF(AND(ISNUMBER($I264),$I264&lt;=TODAY()),"Levée",IF(AND(ISNUMBER($H264),$H264&lt;TODAY()),"En retard","Ouverte")))</f>
      </c>
      <c r="K264" s="21">
        <f>IF(OR(NOT(ISNUMBER($A264)),$D264=""),"",IF($J264="Levée",$I264-$A264,TODAY()-$A264))</f>
      </c>
    </row>
    <row r="265" spans="1:11" x14ac:dyDescent="0.25">
      <c r="A265" s="24"/>
      <c r="B265" s="9"/>
      <c r="C265" s="20">
        <f>IF($B265="","",IFERROR(INDEX(Parc!$B$2:$B$301,MATCH($B265,Parc!$A$2:$A$301,0)),"Réf. inconnue"))</f>
      </c>
      <c r="D265" s="9"/>
      <c r="E265" s="23"/>
      <c r="F265" s="9"/>
      <c r="G265" s="9"/>
      <c r="H265" s="24"/>
      <c r="I265" s="24"/>
      <c r="J265" s="22">
        <f>IF($D265="","",IF(AND(ISNUMBER($I265),$I265&lt;=TODAY()),"Levée",IF(AND(ISNUMBER($H265),$H265&lt;TODAY()),"En retard","Ouverte")))</f>
      </c>
      <c r="K265" s="21">
        <f>IF(OR(NOT(ISNUMBER($A265)),$D265=""),"",IF($J265="Levée",$I265-$A265,TODAY()-$A265))</f>
      </c>
    </row>
    <row r="266" spans="1:11" x14ac:dyDescent="0.25">
      <c r="A266" s="24"/>
      <c r="B266" s="9"/>
      <c r="C266" s="20">
        <f>IF($B266="","",IFERROR(INDEX(Parc!$B$2:$B$301,MATCH($B266,Parc!$A$2:$A$301,0)),"Réf. inconnue"))</f>
      </c>
      <c r="D266" s="9"/>
      <c r="E266" s="23"/>
      <c r="F266" s="9"/>
      <c r="G266" s="9"/>
      <c r="H266" s="24"/>
      <c r="I266" s="24"/>
      <c r="J266" s="22">
        <f>IF($D266="","",IF(AND(ISNUMBER($I266),$I266&lt;=TODAY()),"Levée",IF(AND(ISNUMBER($H266),$H266&lt;TODAY()),"En retard","Ouverte")))</f>
      </c>
      <c r="K266" s="21">
        <f>IF(OR(NOT(ISNUMBER($A266)),$D266=""),"",IF($J266="Levée",$I266-$A266,TODAY()-$A266))</f>
      </c>
    </row>
    <row r="267" spans="1:11" x14ac:dyDescent="0.25">
      <c r="A267" s="24"/>
      <c r="B267" s="9"/>
      <c r="C267" s="20">
        <f>IF($B267="","",IFERROR(INDEX(Parc!$B$2:$B$301,MATCH($B267,Parc!$A$2:$A$301,0)),"Réf. inconnue"))</f>
      </c>
      <c r="D267" s="9"/>
      <c r="E267" s="23"/>
      <c r="F267" s="9"/>
      <c r="G267" s="9"/>
      <c r="H267" s="24"/>
      <c r="I267" s="24"/>
      <c r="J267" s="22">
        <f>IF($D267="","",IF(AND(ISNUMBER($I267),$I267&lt;=TODAY()),"Levée",IF(AND(ISNUMBER($H267),$H267&lt;TODAY()),"En retard","Ouverte")))</f>
      </c>
      <c r="K267" s="21">
        <f>IF(OR(NOT(ISNUMBER($A267)),$D267=""),"",IF($J267="Levée",$I267-$A267,TODAY()-$A267))</f>
      </c>
    </row>
    <row r="268" spans="1:11" x14ac:dyDescent="0.25">
      <c r="A268" s="24"/>
      <c r="B268" s="9"/>
      <c r="C268" s="20">
        <f>IF($B268="","",IFERROR(INDEX(Parc!$B$2:$B$301,MATCH($B268,Parc!$A$2:$A$301,0)),"Réf. inconnue"))</f>
      </c>
      <c r="D268" s="9"/>
      <c r="E268" s="23"/>
      <c r="F268" s="9"/>
      <c r="G268" s="9"/>
      <c r="H268" s="24"/>
      <c r="I268" s="24"/>
      <c r="J268" s="22">
        <f>IF($D268="","",IF(AND(ISNUMBER($I268),$I268&lt;=TODAY()),"Levée",IF(AND(ISNUMBER($H268),$H268&lt;TODAY()),"En retard","Ouverte")))</f>
      </c>
      <c r="K268" s="21">
        <f>IF(OR(NOT(ISNUMBER($A268)),$D268=""),"",IF($J268="Levée",$I268-$A268,TODAY()-$A268))</f>
      </c>
    </row>
    <row r="269" spans="1:11" x14ac:dyDescent="0.25">
      <c r="A269" s="24"/>
      <c r="B269" s="9"/>
      <c r="C269" s="20">
        <f>IF($B269="","",IFERROR(INDEX(Parc!$B$2:$B$301,MATCH($B269,Parc!$A$2:$A$301,0)),"Réf. inconnue"))</f>
      </c>
      <c r="D269" s="9"/>
      <c r="E269" s="23"/>
      <c r="F269" s="9"/>
      <c r="G269" s="9"/>
      <c r="H269" s="24"/>
      <c r="I269" s="24"/>
      <c r="J269" s="22">
        <f>IF($D269="","",IF(AND(ISNUMBER($I269),$I269&lt;=TODAY()),"Levée",IF(AND(ISNUMBER($H269),$H269&lt;TODAY()),"En retard","Ouverte")))</f>
      </c>
      <c r="K269" s="21">
        <f>IF(OR(NOT(ISNUMBER($A269)),$D269=""),"",IF($J269="Levée",$I269-$A269,TODAY()-$A269))</f>
      </c>
    </row>
    <row r="270" spans="1:11" x14ac:dyDescent="0.25">
      <c r="A270" s="24"/>
      <c r="B270" s="9"/>
      <c r="C270" s="20">
        <f>IF($B270="","",IFERROR(INDEX(Parc!$B$2:$B$301,MATCH($B270,Parc!$A$2:$A$301,0)),"Réf. inconnue"))</f>
      </c>
      <c r="D270" s="9"/>
      <c r="E270" s="23"/>
      <c r="F270" s="9"/>
      <c r="G270" s="9"/>
      <c r="H270" s="24"/>
      <c r="I270" s="24"/>
      <c r="J270" s="22">
        <f>IF($D270="","",IF(AND(ISNUMBER($I270),$I270&lt;=TODAY()),"Levée",IF(AND(ISNUMBER($H270),$H270&lt;TODAY()),"En retard","Ouverte")))</f>
      </c>
      <c r="K270" s="21">
        <f>IF(OR(NOT(ISNUMBER($A270)),$D270=""),"",IF($J270="Levée",$I270-$A270,TODAY()-$A270))</f>
      </c>
    </row>
    <row r="271" spans="1:11" x14ac:dyDescent="0.25">
      <c r="A271" s="24"/>
      <c r="B271" s="9"/>
      <c r="C271" s="20">
        <f>IF($B271="","",IFERROR(INDEX(Parc!$B$2:$B$301,MATCH($B271,Parc!$A$2:$A$301,0)),"Réf. inconnue"))</f>
      </c>
      <c r="D271" s="9"/>
      <c r="E271" s="23"/>
      <c r="F271" s="9"/>
      <c r="G271" s="9"/>
      <c r="H271" s="24"/>
      <c r="I271" s="24"/>
      <c r="J271" s="22">
        <f>IF($D271="","",IF(AND(ISNUMBER($I271),$I271&lt;=TODAY()),"Levée",IF(AND(ISNUMBER($H271),$H271&lt;TODAY()),"En retard","Ouverte")))</f>
      </c>
      <c r="K271" s="21">
        <f>IF(OR(NOT(ISNUMBER($A271)),$D271=""),"",IF($J271="Levée",$I271-$A271,TODAY()-$A271))</f>
      </c>
    </row>
    <row r="272" spans="1:11" x14ac:dyDescent="0.25">
      <c r="A272" s="24"/>
      <c r="B272" s="9"/>
      <c r="C272" s="20">
        <f>IF($B272="","",IFERROR(INDEX(Parc!$B$2:$B$301,MATCH($B272,Parc!$A$2:$A$301,0)),"Réf. inconnue"))</f>
      </c>
      <c r="D272" s="9"/>
      <c r="E272" s="23"/>
      <c r="F272" s="9"/>
      <c r="G272" s="9"/>
      <c r="H272" s="24"/>
      <c r="I272" s="24"/>
      <c r="J272" s="22">
        <f>IF($D272="","",IF(AND(ISNUMBER($I272),$I272&lt;=TODAY()),"Levée",IF(AND(ISNUMBER($H272),$H272&lt;TODAY()),"En retard","Ouverte")))</f>
      </c>
      <c r="K272" s="21">
        <f>IF(OR(NOT(ISNUMBER($A272)),$D272=""),"",IF($J272="Levée",$I272-$A272,TODAY()-$A272))</f>
      </c>
    </row>
    <row r="273" spans="1:11" x14ac:dyDescent="0.25">
      <c r="A273" s="24"/>
      <c r="B273" s="9"/>
      <c r="C273" s="20">
        <f>IF($B273="","",IFERROR(INDEX(Parc!$B$2:$B$301,MATCH($B273,Parc!$A$2:$A$301,0)),"Réf. inconnue"))</f>
      </c>
      <c r="D273" s="9"/>
      <c r="E273" s="23"/>
      <c r="F273" s="9"/>
      <c r="G273" s="9"/>
      <c r="H273" s="24"/>
      <c r="I273" s="24"/>
      <c r="J273" s="22">
        <f>IF($D273="","",IF(AND(ISNUMBER($I273),$I273&lt;=TODAY()),"Levée",IF(AND(ISNUMBER($H273),$H273&lt;TODAY()),"En retard","Ouverte")))</f>
      </c>
      <c r="K273" s="21">
        <f>IF(OR(NOT(ISNUMBER($A273)),$D273=""),"",IF($J273="Levée",$I273-$A273,TODAY()-$A273))</f>
      </c>
    </row>
    <row r="274" spans="1:11" x14ac:dyDescent="0.25">
      <c r="A274" s="24"/>
      <c r="B274" s="9"/>
      <c r="C274" s="20">
        <f>IF($B274="","",IFERROR(INDEX(Parc!$B$2:$B$301,MATCH($B274,Parc!$A$2:$A$301,0)),"Réf. inconnue"))</f>
      </c>
      <c r="D274" s="9"/>
      <c r="E274" s="23"/>
      <c r="F274" s="9"/>
      <c r="G274" s="9"/>
      <c r="H274" s="24"/>
      <c r="I274" s="24"/>
      <c r="J274" s="22">
        <f>IF($D274="","",IF(AND(ISNUMBER($I274),$I274&lt;=TODAY()),"Levée",IF(AND(ISNUMBER($H274),$H274&lt;TODAY()),"En retard","Ouverte")))</f>
      </c>
      <c r="K274" s="21">
        <f>IF(OR(NOT(ISNUMBER($A274)),$D274=""),"",IF($J274="Levée",$I274-$A274,TODAY()-$A274))</f>
      </c>
    </row>
    <row r="275" spans="1:11" x14ac:dyDescent="0.25">
      <c r="A275" s="24"/>
      <c r="B275" s="9"/>
      <c r="C275" s="20">
        <f>IF($B275="","",IFERROR(INDEX(Parc!$B$2:$B$301,MATCH($B275,Parc!$A$2:$A$301,0)),"Réf. inconnue"))</f>
      </c>
      <c r="D275" s="9"/>
      <c r="E275" s="23"/>
      <c r="F275" s="9"/>
      <c r="G275" s="9"/>
      <c r="H275" s="24"/>
      <c r="I275" s="24"/>
      <c r="J275" s="22">
        <f>IF($D275="","",IF(AND(ISNUMBER($I275),$I275&lt;=TODAY()),"Levée",IF(AND(ISNUMBER($H275),$H275&lt;TODAY()),"En retard","Ouverte")))</f>
      </c>
      <c r="K275" s="21">
        <f>IF(OR(NOT(ISNUMBER($A275)),$D275=""),"",IF($J275="Levée",$I275-$A275,TODAY()-$A275))</f>
      </c>
    </row>
    <row r="276" spans="1:11" x14ac:dyDescent="0.25">
      <c r="A276" s="24"/>
      <c r="B276" s="9"/>
      <c r="C276" s="20">
        <f>IF($B276="","",IFERROR(INDEX(Parc!$B$2:$B$301,MATCH($B276,Parc!$A$2:$A$301,0)),"Réf. inconnue"))</f>
      </c>
      <c r="D276" s="9"/>
      <c r="E276" s="23"/>
      <c r="F276" s="9"/>
      <c r="G276" s="9"/>
      <c r="H276" s="24"/>
      <c r="I276" s="24"/>
      <c r="J276" s="22">
        <f>IF($D276="","",IF(AND(ISNUMBER($I276),$I276&lt;=TODAY()),"Levée",IF(AND(ISNUMBER($H276),$H276&lt;TODAY()),"En retard","Ouverte")))</f>
      </c>
      <c r="K276" s="21">
        <f>IF(OR(NOT(ISNUMBER($A276)),$D276=""),"",IF($J276="Levée",$I276-$A276,TODAY()-$A276))</f>
      </c>
    </row>
    <row r="277" spans="1:11" x14ac:dyDescent="0.25">
      <c r="A277" s="24"/>
      <c r="B277" s="9"/>
      <c r="C277" s="20">
        <f>IF($B277="","",IFERROR(INDEX(Parc!$B$2:$B$301,MATCH($B277,Parc!$A$2:$A$301,0)),"Réf. inconnue"))</f>
      </c>
      <c r="D277" s="9"/>
      <c r="E277" s="23"/>
      <c r="F277" s="9"/>
      <c r="G277" s="9"/>
      <c r="H277" s="24"/>
      <c r="I277" s="24"/>
      <c r="J277" s="22">
        <f>IF($D277="","",IF(AND(ISNUMBER($I277),$I277&lt;=TODAY()),"Levée",IF(AND(ISNUMBER($H277),$H277&lt;TODAY()),"En retard","Ouverte")))</f>
      </c>
      <c r="K277" s="21">
        <f>IF(OR(NOT(ISNUMBER($A277)),$D277=""),"",IF($J277="Levée",$I277-$A277,TODAY()-$A277))</f>
      </c>
    </row>
    <row r="278" spans="1:11" x14ac:dyDescent="0.25">
      <c r="A278" s="24"/>
      <c r="B278" s="9"/>
      <c r="C278" s="20">
        <f>IF($B278="","",IFERROR(INDEX(Parc!$B$2:$B$301,MATCH($B278,Parc!$A$2:$A$301,0)),"Réf. inconnue"))</f>
      </c>
      <c r="D278" s="9"/>
      <c r="E278" s="23"/>
      <c r="F278" s="9"/>
      <c r="G278" s="9"/>
      <c r="H278" s="24"/>
      <c r="I278" s="24"/>
      <c r="J278" s="22">
        <f>IF($D278="","",IF(AND(ISNUMBER($I278),$I278&lt;=TODAY()),"Levée",IF(AND(ISNUMBER($H278),$H278&lt;TODAY()),"En retard","Ouverte")))</f>
      </c>
      <c r="K278" s="21">
        <f>IF(OR(NOT(ISNUMBER($A278)),$D278=""),"",IF($J278="Levée",$I278-$A278,TODAY()-$A278))</f>
      </c>
    </row>
    <row r="279" spans="1:11" x14ac:dyDescent="0.25">
      <c r="A279" s="24"/>
      <c r="B279" s="9"/>
      <c r="C279" s="20">
        <f>IF($B279="","",IFERROR(INDEX(Parc!$B$2:$B$301,MATCH($B279,Parc!$A$2:$A$301,0)),"Réf. inconnue"))</f>
      </c>
      <c r="D279" s="9"/>
      <c r="E279" s="23"/>
      <c r="F279" s="9"/>
      <c r="G279" s="9"/>
      <c r="H279" s="24"/>
      <c r="I279" s="24"/>
      <c r="J279" s="22">
        <f>IF($D279="","",IF(AND(ISNUMBER($I279),$I279&lt;=TODAY()),"Levée",IF(AND(ISNUMBER($H279),$H279&lt;TODAY()),"En retard","Ouverte")))</f>
      </c>
      <c r="K279" s="21">
        <f>IF(OR(NOT(ISNUMBER($A279)),$D279=""),"",IF($J279="Levée",$I279-$A279,TODAY()-$A279))</f>
      </c>
    </row>
    <row r="280" spans="1:11" x14ac:dyDescent="0.25">
      <c r="A280" s="24"/>
      <c r="B280" s="9"/>
      <c r="C280" s="20">
        <f>IF($B280="","",IFERROR(INDEX(Parc!$B$2:$B$301,MATCH($B280,Parc!$A$2:$A$301,0)),"Réf. inconnue"))</f>
      </c>
      <c r="D280" s="9"/>
      <c r="E280" s="23"/>
      <c r="F280" s="9"/>
      <c r="G280" s="9"/>
      <c r="H280" s="24"/>
      <c r="I280" s="24"/>
      <c r="J280" s="22">
        <f>IF($D280="","",IF(AND(ISNUMBER($I280),$I280&lt;=TODAY()),"Levée",IF(AND(ISNUMBER($H280),$H280&lt;TODAY()),"En retard","Ouverte")))</f>
      </c>
      <c r="K280" s="21">
        <f>IF(OR(NOT(ISNUMBER($A280)),$D280=""),"",IF($J280="Levée",$I280-$A280,TODAY()-$A280))</f>
      </c>
    </row>
    <row r="281" spans="1:11" x14ac:dyDescent="0.25">
      <c r="A281" s="24"/>
      <c r="B281" s="9"/>
      <c r="C281" s="20">
        <f>IF($B281="","",IFERROR(INDEX(Parc!$B$2:$B$301,MATCH($B281,Parc!$A$2:$A$301,0)),"Réf. inconnue"))</f>
      </c>
      <c r="D281" s="9"/>
      <c r="E281" s="23"/>
      <c r="F281" s="9"/>
      <c r="G281" s="9"/>
      <c r="H281" s="24"/>
      <c r="I281" s="24"/>
      <c r="J281" s="22">
        <f>IF($D281="","",IF(AND(ISNUMBER($I281),$I281&lt;=TODAY()),"Levée",IF(AND(ISNUMBER($H281),$H281&lt;TODAY()),"En retard","Ouverte")))</f>
      </c>
      <c r="K281" s="21">
        <f>IF(OR(NOT(ISNUMBER($A281)),$D281=""),"",IF($J281="Levée",$I281-$A281,TODAY()-$A281))</f>
      </c>
    </row>
    <row r="282" spans="1:11" x14ac:dyDescent="0.25">
      <c r="A282" s="24"/>
      <c r="B282" s="9"/>
      <c r="C282" s="20">
        <f>IF($B282="","",IFERROR(INDEX(Parc!$B$2:$B$301,MATCH($B282,Parc!$A$2:$A$301,0)),"Réf. inconnue"))</f>
      </c>
      <c r="D282" s="9"/>
      <c r="E282" s="23"/>
      <c r="F282" s="9"/>
      <c r="G282" s="9"/>
      <c r="H282" s="24"/>
      <c r="I282" s="24"/>
      <c r="J282" s="22">
        <f>IF($D282="","",IF(AND(ISNUMBER($I282),$I282&lt;=TODAY()),"Levée",IF(AND(ISNUMBER($H282),$H282&lt;TODAY()),"En retard","Ouverte")))</f>
      </c>
      <c r="K282" s="21">
        <f>IF(OR(NOT(ISNUMBER($A282)),$D282=""),"",IF($J282="Levée",$I282-$A282,TODAY()-$A282))</f>
      </c>
    </row>
    <row r="283" spans="1:11" x14ac:dyDescent="0.25">
      <c r="A283" s="24"/>
      <c r="B283" s="9"/>
      <c r="C283" s="20">
        <f>IF($B283="","",IFERROR(INDEX(Parc!$B$2:$B$301,MATCH($B283,Parc!$A$2:$A$301,0)),"Réf. inconnue"))</f>
      </c>
      <c r="D283" s="9"/>
      <c r="E283" s="23"/>
      <c r="F283" s="9"/>
      <c r="G283" s="9"/>
      <c r="H283" s="24"/>
      <c r="I283" s="24"/>
      <c r="J283" s="22">
        <f>IF($D283="","",IF(AND(ISNUMBER($I283),$I283&lt;=TODAY()),"Levée",IF(AND(ISNUMBER($H283),$H283&lt;TODAY()),"En retard","Ouverte")))</f>
      </c>
      <c r="K283" s="21">
        <f>IF(OR(NOT(ISNUMBER($A283)),$D283=""),"",IF($J283="Levée",$I283-$A283,TODAY()-$A283))</f>
      </c>
    </row>
    <row r="284" spans="1:11" x14ac:dyDescent="0.25">
      <c r="A284" s="24"/>
      <c r="B284" s="9"/>
      <c r="C284" s="20">
        <f>IF($B284="","",IFERROR(INDEX(Parc!$B$2:$B$301,MATCH($B284,Parc!$A$2:$A$301,0)),"Réf. inconnue"))</f>
      </c>
      <c r="D284" s="9"/>
      <c r="E284" s="23"/>
      <c r="F284" s="9"/>
      <c r="G284" s="9"/>
      <c r="H284" s="24"/>
      <c r="I284" s="24"/>
      <c r="J284" s="22">
        <f>IF($D284="","",IF(AND(ISNUMBER($I284),$I284&lt;=TODAY()),"Levée",IF(AND(ISNUMBER($H284),$H284&lt;TODAY()),"En retard","Ouverte")))</f>
      </c>
      <c r="K284" s="21">
        <f>IF(OR(NOT(ISNUMBER($A284)),$D284=""),"",IF($J284="Levée",$I284-$A284,TODAY()-$A284))</f>
      </c>
    </row>
    <row r="285" spans="1:11" x14ac:dyDescent="0.25">
      <c r="A285" s="24"/>
      <c r="B285" s="9"/>
      <c r="C285" s="20">
        <f>IF($B285="","",IFERROR(INDEX(Parc!$B$2:$B$301,MATCH($B285,Parc!$A$2:$A$301,0)),"Réf. inconnue"))</f>
      </c>
      <c r="D285" s="9"/>
      <c r="E285" s="23"/>
      <c r="F285" s="9"/>
      <c r="G285" s="9"/>
      <c r="H285" s="24"/>
      <c r="I285" s="24"/>
      <c r="J285" s="22">
        <f>IF($D285="","",IF(AND(ISNUMBER($I285),$I285&lt;=TODAY()),"Levée",IF(AND(ISNUMBER($H285),$H285&lt;TODAY()),"En retard","Ouverte")))</f>
      </c>
      <c r="K285" s="21">
        <f>IF(OR(NOT(ISNUMBER($A285)),$D285=""),"",IF($J285="Levée",$I285-$A285,TODAY()-$A285))</f>
      </c>
    </row>
    <row r="286" spans="1:11" x14ac:dyDescent="0.25">
      <c r="A286" s="24"/>
      <c r="B286" s="9"/>
      <c r="C286" s="20">
        <f>IF($B286="","",IFERROR(INDEX(Parc!$B$2:$B$301,MATCH($B286,Parc!$A$2:$A$301,0)),"Réf. inconnue"))</f>
      </c>
      <c r="D286" s="9"/>
      <c r="E286" s="23"/>
      <c r="F286" s="9"/>
      <c r="G286" s="9"/>
      <c r="H286" s="24"/>
      <c r="I286" s="24"/>
      <c r="J286" s="22">
        <f>IF($D286="","",IF(AND(ISNUMBER($I286),$I286&lt;=TODAY()),"Levée",IF(AND(ISNUMBER($H286),$H286&lt;TODAY()),"En retard","Ouverte")))</f>
      </c>
      <c r="K286" s="21">
        <f>IF(OR(NOT(ISNUMBER($A286)),$D286=""),"",IF($J286="Levée",$I286-$A286,TODAY()-$A286))</f>
      </c>
    </row>
    <row r="287" spans="1:11" x14ac:dyDescent="0.25">
      <c r="A287" s="24"/>
      <c r="B287" s="9"/>
      <c r="C287" s="20">
        <f>IF($B287="","",IFERROR(INDEX(Parc!$B$2:$B$301,MATCH($B287,Parc!$A$2:$A$301,0)),"Réf. inconnue"))</f>
      </c>
      <c r="D287" s="9"/>
      <c r="E287" s="23"/>
      <c r="F287" s="9"/>
      <c r="G287" s="9"/>
      <c r="H287" s="24"/>
      <c r="I287" s="24"/>
      <c r="J287" s="22">
        <f>IF($D287="","",IF(AND(ISNUMBER($I287),$I287&lt;=TODAY()),"Levée",IF(AND(ISNUMBER($H287),$H287&lt;TODAY()),"En retard","Ouverte")))</f>
      </c>
      <c r="K287" s="21">
        <f>IF(OR(NOT(ISNUMBER($A287)),$D287=""),"",IF($J287="Levée",$I287-$A287,TODAY()-$A287))</f>
      </c>
    </row>
    <row r="288" spans="1:11" x14ac:dyDescent="0.25">
      <c r="A288" s="24"/>
      <c r="B288" s="9"/>
      <c r="C288" s="20">
        <f>IF($B288="","",IFERROR(INDEX(Parc!$B$2:$B$301,MATCH($B288,Parc!$A$2:$A$301,0)),"Réf. inconnue"))</f>
      </c>
      <c r="D288" s="9"/>
      <c r="E288" s="23"/>
      <c r="F288" s="9"/>
      <c r="G288" s="9"/>
      <c r="H288" s="24"/>
      <c r="I288" s="24"/>
      <c r="J288" s="22">
        <f>IF($D288="","",IF(AND(ISNUMBER($I288),$I288&lt;=TODAY()),"Levée",IF(AND(ISNUMBER($H288),$H288&lt;TODAY()),"En retard","Ouverte")))</f>
      </c>
      <c r="K288" s="21">
        <f>IF(OR(NOT(ISNUMBER($A288)),$D288=""),"",IF($J288="Levée",$I288-$A288,TODAY()-$A288))</f>
      </c>
    </row>
    <row r="289" spans="1:11" x14ac:dyDescent="0.25">
      <c r="A289" s="24"/>
      <c r="B289" s="9"/>
      <c r="C289" s="20">
        <f>IF($B289="","",IFERROR(INDEX(Parc!$B$2:$B$301,MATCH($B289,Parc!$A$2:$A$301,0)),"Réf. inconnue"))</f>
      </c>
      <c r="D289" s="9"/>
      <c r="E289" s="23"/>
      <c r="F289" s="9"/>
      <c r="G289" s="9"/>
      <c r="H289" s="24"/>
      <c r="I289" s="24"/>
      <c r="J289" s="22">
        <f>IF($D289="","",IF(AND(ISNUMBER($I289),$I289&lt;=TODAY()),"Levée",IF(AND(ISNUMBER($H289),$H289&lt;TODAY()),"En retard","Ouverte")))</f>
      </c>
      <c r="K289" s="21">
        <f>IF(OR(NOT(ISNUMBER($A289)),$D289=""),"",IF($J289="Levée",$I289-$A289,TODAY()-$A289))</f>
      </c>
    </row>
    <row r="290" spans="1:11" x14ac:dyDescent="0.25">
      <c r="A290" s="24"/>
      <c r="B290" s="9"/>
      <c r="C290" s="20">
        <f>IF($B290="","",IFERROR(INDEX(Parc!$B$2:$B$301,MATCH($B290,Parc!$A$2:$A$301,0)),"Réf. inconnue"))</f>
      </c>
      <c r="D290" s="9"/>
      <c r="E290" s="23"/>
      <c r="F290" s="9"/>
      <c r="G290" s="9"/>
      <c r="H290" s="24"/>
      <c r="I290" s="24"/>
      <c r="J290" s="22">
        <f>IF($D290="","",IF(AND(ISNUMBER($I290),$I290&lt;=TODAY()),"Levée",IF(AND(ISNUMBER($H290),$H290&lt;TODAY()),"En retard","Ouverte")))</f>
      </c>
      <c r="K290" s="21">
        <f>IF(OR(NOT(ISNUMBER($A290)),$D290=""),"",IF($J290="Levée",$I290-$A290,TODAY()-$A290))</f>
      </c>
    </row>
    <row r="291" spans="1:11" x14ac:dyDescent="0.25">
      <c r="A291" s="24"/>
      <c r="B291" s="9"/>
      <c r="C291" s="20">
        <f>IF($B291="","",IFERROR(INDEX(Parc!$B$2:$B$301,MATCH($B291,Parc!$A$2:$A$301,0)),"Réf. inconnue"))</f>
      </c>
      <c r="D291" s="9"/>
      <c r="E291" s="23"/>
      <c r="F291" s="9"/>
      <c r="G291" s="9"/>
      <c r="H291" s="24"/>
      <c r="I291" s="24"/>
      <c r="J291" s="22">
        <f>IF($D291="","",IF(AND(ISNUMBER($I291),$I291&lt;=TODAY()),"Levée",IF(AND(ISNUMBER($H291),$H291&lt;TODAY()),"En retard","Ouverte")))</f>
      </c>
      <c r="K291" s="21">
        <f>IF(OR(NOT(ISNUMBER($A291)),$D291=""),"",IF($J291="Levée",$I291-$A291,TODAY()-$A291))</f>
      </c>
    </row>
    <row r="292" spans="1:11" x14ac:dyDescent="0.25">
      <c r="A292" s="24"/>
      <c r="B292" s="9"/>
      <c r="C292" s="20">
        <f>IF($B292="","",IFERROR(INDEX(Parc!$B$2:$B$301,MATCH($B292,Parc!$A$2:$A$301,0)),"Réf. inconnue"))</f>
      </c>
      <c r="D292" s="9"/>
      <c r="E292" s="23"/>
      <c r="F292" s="9"/>
      <c r="G292" s="9"/>
      <c r="H292" s="24"/>
      <c r="I292" s="24"/>
      <c r="J292" s="22">
        <f>IF($D292="","",IF(AND(ISNUMBER($I292),$I292&lt;=TODAY()),"Levée",IF(AND(ISNUMBER($H292),$H292&lt;TODAY()),"En retard","Ouverte")))</f>
      </c>
      <c r="K292" s="21">
        <f>IF(OR(NOT(ISNUMBER($A292)),$D292=""),"",IF($J292="Levée",$I292-$A292,TODAY()-$A292))</f>
      </c>
    </row>
    <row r="293" spans="1:11" x14ac:dyDescent="0.25">
      <c r="A293" s="24"/>
      <c r="B293" s="9"/>
      <c r="C293" s="20">
        <f>IF($B293="","",IFERROR(INDEX(Parc!$B$2:$B$301,MATCH($B293,Parc!$A$2:$A$301,0)),"Réf. inconnue"))</f>
      </c>
      <c r="D293" s="9"/>
      <c r="E293" s="23"/>
      <c r="F293" s="9"/>
      <c r="G293" s="9"/>
      <c r="H293" s="24"/>
      <c r="I293" s="24"/>
      <c r="J293" s="22">
        <f>IF($D293="","",IF(AND(ISNUMBER($I293),$I293&lt;=TODAY()),"Levée",IF(AND(ISNUMBER($H293),$H293&lt;TODAY()),"En retard","Ouverte")))</f>
      </c>
      <c r="K293" s="21">
        <f>IF(OR(NOT(ISNUMBER($A293)),$D293=""),"",IF($J293="Levée",$I293-$A293,TODAY()-$A293))</f>
      </c>
    </row>
    <row r="294" spans="1:11" x14ac:dyDescent="0.25">
      <c r="A294" s="24"/>
      <c r="B294" s="9"/>
      <c r="C294" s="20">
        <f>IF($B294="","",IFERROR(INDEX(Parc!$B$2:$B$301,MATCH($B294,Parc!$A$2:$A$301,0)),"Réf. inconnue"))</f>
      </c>
      <c r="D294" s="9"/>
      <c r="E294" s="23"/>
      <c r="F294" s="9"/>
      <c r="G294" s="9"/>
      <c r="H294" s="24"/>
      <c r="I294" s="24"/>
      <c r="J294" s="22">
        <f>IF($D294="","",IF(AND(ISNUMBER($I294),$I294&lt;=TODAY()),"Levée",IF(AND(ISNUMBER($H294),$H294&lt;TODAY()),"En retard","Ouverte")))</f>
      </c>
      <c r="K294" s="21">
        <f>IF(OR(NOT(ISNUMBER($A294)),$D294=""),"",IF($J294="Levée",$I294-$A294,TODAY()-$A294))</f>
      </c>
    </row>
    <row r="295" spans="1:11" x14ac:dyDescent="0.25">
      <c r="A295" s="24"/>
      <c r="B295" s="9"/>
      <c r="C295" s="20">
        <f>IF($B295="","",IFERROR(INDEX(Parc!$B$2:$B$301,MATCH($B295,Parc!$A$2:$A$301,0)),"Réf. inconnue"))</f>
      </c>
      <c r="D295" s="9"/>
      <c r="E295" s="23"/>
      <c r="F295" s="9"/>
      <c r="G295" s="9"/>
      <c r="H295" s="24"/>
      <c r="I295" s="24"/>
      <c r="J295" s="22">
        <f>IF($D295="","",IF(AND(ISNUMBER($I295),$I295&lt;=TODAY()),"Levée",IF(AND(ISNUMBER($H295),$H295&lt;TODAY()),"En retard","Ouverte")))</f>
      </c>
      <c r="K295" s="21">
        <f>IF(OR(NOT(ISNUMBER($A295)),$D295=""),"",IF($J295="Levée",$I295-$A295,TODAY()-$A295))</f>
      </c>
    </row>
    <row r="296" spans="1:11" x14ac:dyDescent="0.25">
      <c r="A296" s="24"/>
      <c r="B296" s="9"/>
      <c r="C296" s="20">
        <f>IF($B296="","",IFERROR(INDEX(Parc!$B$2:$B$301,MATCH($B296,Parc!$A$2:$A$301,0)),"Réf. inconnue"))</f>
      </c>
      <c r="D296" s="9"/>
      <c r="E296" s="23"/>
      <c r="F296" s="9"/>
      <c r="G296" s="9"/>
      <c r="H296" s="24"/>
      <c r="I296" s="24"/>
      <c r="J296" s="22">
        <f>IF($D296="","",IF(AND(ISNUMBER($I296),$I296&lt;=TODAY()),"Levée",IF(AND(ISNUMBER($H296),$H296&lt;TODAY()),"En retard","Ouverte")))</f>
      </c>
      <c r="K296" s="21">
        <f>IF(OR(NOT(ISNUMBER($A296)),$D296=""),"",IF($J296="Levée",$I296-$A296,TODAY()-$A296))</f>
      </c>
    </row>
    <row r="297" spans="1:11" x14ac:dyDescent="0.25">
      <c r="A297" s="24"/>
      <c r="B297" s="9"/>
      <c r="C297" s="20">
        <f>IF($B297="","",IFERROR(INDEX(Parc!$B$2:$B$301,MATCH($B297,Parc!$A$2:$A$301,0)),"Réf. inconnue"))</f>
      </c>
      <c r="D297" s="9"/>
      <c r="E297" s="23"/>
      <c r="F297" s="9"/>
      <c r="G297" s="9"/>
      <c r="H297" s="24"/>
      <c r="I297" s="24"/>
      <c r="J297" s="22">
        <f>IF($D297="","",IF(AND(ISNUMBER($I297),$I297&lt;=TODAY()),"Levée",IF(AND(ISNUMBER($H297),$H297&lt;TODAY()),"En retard","Ouverte")))</f>
      </c>
      <c r="K297" s="21">
        <f>IF(OR(NOT(ISNUMBER($A297)),$D297=""),"",IF($J297="Levée",$I297-$A297,TODAY()-$A297))</f>
      </c>
    </row>
    <row r="298" spans="1:11" x14ac:dyDescent="0.25">
      <c r="A298" s="24"/>
      <c r="B298" s="9"/>
      <c r="C298" s="20">
        <f>IF($B298="","",IFERROR(INDEX(Parc!$B$2:$B$301,MATCH($B298,Parc!$A$2:$A$301,0)),"Réf. inconnue"))</f>
      </c>
      <c r="D298" s="9"/>
      <c r="E298" s="23"/>
      <c r="F298" s="9"/>
      <c r="G298" s="9"/>
      <c r="H298" s="24"/>
      <c r="I298" s="24"/>
      <c r="J298" s="22">
        <f>IF($D298="","",IF(AND(ISNUMBER($I298),$I298&lt;=TODAY()),"Levée",IF(AND(ISNUMBER($H298),$H298&lt;TODAY()),"En retard","Ouverte")))</f>
      </c>
      <c r="K298" s="21">
        <f>IF(OR(NOT(ISNUMBER($A298)),$D298=""),"",IF($J298="Levée",$I298-$A298,TODAY()-$A298))</f>
      </c>
    </row>
    <row r="299" spans="1:11" x14ac:dyDescent="0.25">
      <c r="A299" s="24"/>
      <c r="B299" s="9"/>
      <c r="C299" s="20">
        <f>IF($B299="","",IFERROR(INDEX(Parc!$B$2:$B$301,MATCH($B299,Parc!$A$2:$A$301,0)),"Réf. inconnue"))</f>
      </c>
      <c r="D299" s="9"/>
      <c r="E299" s="23"/>
      <c r="F299" s="9"/>
      <c r="G299" s="9"/>
      <c r="H299" s="24"/>
      <c r="I299" s="24"/>
      <c r="J299" s="22">
        <f>IF($D299="","",IF(AND(ISNUMBER($I299),$I299&lt;=TODAY()),"Levée",IF(AND(ISNUMBER($H299),$H299&lt;TODAY()),"En retard","Ouverte")))</f>
      </c>
      <c r="K299" s="21">
        <f>IF(OR(NOT(ISNUMBER($A299)),$D299=""),"",IF($J299="Levée",$I299-$A299,TODAY()-$A299))</f>
      </c>
    </row>
    <row r="300" spans="1:11" x14ac:dyDescent="0.25">
      <c r="A300" s="24"/>
      <c r="B300" s="9"/>
      <c r="C300" s="20">
        <f>IF($B300="","",IFERROR(INDEX(Parc!$B$2:$B$301,MATCH($B300,Parc!$A$2:$A$301,0)),"Réf. inconnue"))</f>
      </c>
      <c r="D300" s="9"/>
      <c r="E300" s="23"/>
      <c r="F300" s="9"/>
      <c r="G300" s="9"/>
      <c r="H300" s="24"/>
      <c r="I300" s="24"/>
      <c r="J300" s="22">
        <f>IF($D300="","",IF(AND(ISNUMBER($I300),$I300&lt;=TODAY()),"Levée",IF(AND(ISNUMBER($H300),$H300&lt;TODAY()),"En retard","Ouverte")))</f>
      </c>
      <c r="K300" s="21">
        <f>IF(OR(NOT(ISNUMBER($A300)),$D300=""),"",IF($J300="Levée",$I300-$A300,TODAY()-$A300))</f>
      </c>
    </row>
    <row r="301" spans="1:11" x14ac:dyDescent="0.25">
      <c r="A301" s="24"/>
      <c r="B301" s="9"/>
      <c r="C301" s="20">
        <f>IF($B301="","",IFERROR(INDEX(Parc!$B$2:$B$301,MATCH($B301,Parc!$A$2:$A$301,0)),"Réf. inconnue"))</f>
      </c>
      <c r="D301" s="9"/>
      <c r="E301" s="23"/>
      <c r="F301" s="9"/>
      <c r="G301" s="9"/>
      <c r="H301" s="24"/>
      <c r="I301" s="24"/>
      <c r="J301" s="22">
        <f>IF($D301="","",IF(AND(ISNUMBER($I301),$I301&lt;=TODAY()),"Levée",IF(AND(ISNUMBER($H301),$H301&lt;TODAY()),"En retard","Ouverte")))</f>
      </c>
      <c r="K301" s="21">
        <f>IF(OR(NOT(ISNUMBER($A301)),$D301=""),"",IF($J301="Levée",$I301-$A301,TODAY()-$A301))</f>
      </c>
    </row>
  </sheetData>
  <sheetProtection sheet="1" formatColumns="0" formatRows="0" autoFilter="0"/>
  <autoFilter ref="A1:K1"/>
  <conditionalFormatting sqref="J2:J301">
    <cfRule type="expression" dxfId="36" priority="1">
      <formula>$J2="En retard"</formula>
    </cfRule>
    <cfRule type="expression" dxfId="37" priority="2">
      <formula>$J2="Ouverte"</formula>
    </cfRule>
    <cfRule type="expression" dxfId="38" priority="3">
      <formula>$J2="Levée"</formula>
    </cfRule>
  </conditionalFormatting>
  <conditionalFormatting sqref="E2:E301">
    <cfRule type="expression" dxfId="39" priority="1">
      <formula>AND($E2="Mise à l'arrêt",$J2&lt;&gt;"Levée")</formula>
    </cfRule>
  </conditionalFormatting>
  <conditionalFormatting sqref="C2:C301">
    <cfRule type="expression" dxfId="40" priority="1">
      <formula>$C2="Réf. inconnue"</formula>
    </cfRule>
  </conditionalFormatting>
  <conditionalFormatting sqref="I2:I301">
    <cfRule type="expression" dxfId="41" priority="1">
      <formula>AND(ISNUMBER($I2),$I2&gt;TODAY())</formula>
    </cfRule>
  </conditionalFormatting>
  <dataValidations count="5">
    <dataValidation type="custom" allowBlank="1" showErrorMessage="1" errorStyle="stop" errorTitle="Date attendue" error="Saisissez une date passée ou du jour, au format jj/mm/aaaa. Une date tapée comme du texte ne se calcule pas." sqref="A2:A301">
      <formula1>AND(ISNUMBER(A2),A2&lt;=TODAY())</formula1>
    </dataValidation>
    <dataValidation type="list" allowBlank="1" showErrorMessage="1" errorStyle="stop" errorTitle="Référence inconnue" error="Choisissez la référence d'un équipement de l'onglet Parc." sqref="B2:B301">
      <formula1>Parc!$A$2:$A$301</formula1>
    </dataValidation>
    <dataValidation type="list" allowBlank="1" sqref="E2:E301">
      <formula1>"Mise à l'arrêt,À corriger,À surveiller"</formula1>
    </dataValidation>
    <dataValidation type="custom" allowBlank="1" showErrorMessage="1" errorStyle="stop" errorTitle="Date attendue" error="Saisissez une date au format jj/mm/aaaa." sqref="H2:H301">
      <formula1>ISNUMBER(H2)</formula1>
    </dataValidation>
    <dataValidation type="custom" allowBlank="1" showErrorMessage="1" errorStyle="stop" errorTitle="Date attendue" error="Saisissez une date passée ou du jour, au format jj/mm/aaaa. Une date tapée comme du texte ne se calcule pas." sqref="I2:I301">
      <formula1>AND(ISNUMBER(I2),I2&lt;=TODAY())</formula1>
    </dataValidation>
  </dataValidations>
  <pageSetup paperSize="9" orientation="landscape"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pageSetUpPr fitToPage="1"/>
  </sheetPr>
  <dimension ref="A1:M99"/>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18" customWidth="1"/>
    <col min="3" max="3" width="11" customWidth="1"/>
    <col min="4" max="5" width="12" customWidth="1"/>
    <col min="6" max="6" width="11" customWidth="1"/>
    <col min="7" max="7" width="20" customWidth="1"/>
    <col min="8" max="9" width="22" customWidth="1"/>
    <col min="10" max="10" width="28" customWidth="1"/>
    <col min="11" max="11" width="32" customWidth="1"/>
    <col min="12" max="12" width="13" customWidth="1"/>
    <col min="13" max="13" width="60" customWidth="1"/>
  </cols>
  <sheetData>
    <row r="1" ht="58" customHeight="1" spans="1:13" x14ac:dyDescent="0.25">
      <c r="A1" s="8" t="s">
        <v>184</v>
      </c>
      <c r="B1" s="8" t="s">
        <v>49</v>
      </c>
      <c r="C1" s="8" t="s">
        <v>185</v>
      </c>
      <c r="D1" s="8" t="s">
        <v>186</v>
      </c>
      <c r="E1" s="8" t="s">
        <v>187</v>
      </c>
      <c r="F1" s="8" t="s">
        <v>188</v>
      </c>
      <c r="G1" s="8" t="s">
        <v>189</v>
      </c>
      <c r="H1" s="8" t="s">
        <v>190</v>
      </c>
      <c r="I1" s="8" t="s">
        <v>191</v>
      </c>
      <c r="J1" s="8" t="s">
        <v>192</v>
      </c>
      <c r="K1" s="8" t="s">
        <v>193</v>
      </c>
      <c r="L1" s="8" t="s">
        <v>194</v>
      </c>
      <c r="M1" s="8" t="s">
        <v>195</v>
      </c>
    </row>
    <row r="2" spans="1:13" x14ac:dyDescent="0.25">
      <c r="A2" s="25" t="s">
        <v>94</v>
      </c>
      <c r="B2" s="26" t="s">
        <v>52</v>
      </c>
      <c r="C2" s="27">
        <v>6</v>
      </c>
      <c r="D2" s="27">
        <v>0</v>
      </c>
      <c r="E2" s="27">
        <v>0</v>
      </c>
      <c r="F2" s="27">
        <v>0</v>
      </c>
      <c r="G2" s="26" t="s">
        <v>196</v>
      </c>
      <c r="H2" s="26" t="s">
        <v>197</v>
      </c>
      <c r="I2" s="26" t="s">
        <v>198</v>
      </c>
      <c r="J2" s="26" t="s">
        <v>199</v>
      </c>
      <c r="K2" s="26" t="s">
        <v>200</v>
      </c>
      <c r="L2" s="28" t="s">
        <v>201</v>
      </c>
      <c r="M2" s="26" t="s">
        <v>202</v>
      </c>
    </row>
    <row r="3" spans="1:13" x14ac:dyDescent="0.25">
      <c r="A3" s="25" t="s">
        <v>100</v>
      </c>
      <c r="B3" s="26" t="s">
        <v>52</v>
      </c>
      <c r="C3" s="27">
        <v>6</v>
      </c>
      <c r="D3" s="27">
        <v>0</v>
      </c>
      <c r="E3" s="27">
        <v>0</v>
      </c>
      <c r="F3" s="27">
        <v>0</v>
      </c>
      <c r="G3" s="26" t="s">
        <v>196</v>
      </c>
      <c r="H3" s="26" t="s">
        <v>197</v>
      </c>
      <c r="I3" s="26" t="s">
        <v>198</v>
      </c>
      <c r="J3" s="26" t="s">
        <v>199</v>
      </c>
      <c r="K3" s="26" t="s">
        <v>200</v>
      </c>
      <c r="L3" s="28" t="s">
        <v>201</v>
      </c>
      <c r="M3" s="26" t="s">
        <v>203</v>
      </c>
    </row>
    <row r="4" spans="1:13" x14ac:dyDescent="0.25">
      <c r="A4" s="25" t="s">
        <v>204</v>
      </c>
      <c r="B4" s="26" t="s">
        <v>52</v>
      </c>
      <c r="C4" s="27">
        <v>6</v>
      </c>
      <c r="D4" s="27">
        <v>0</v>
      </c>
      <c r="E4" s="27">
        <v>0</v>
      </c>
      <c r="F4" s="27">
        <v>0</v>
      </c>
      <c r="G4" s="26" t="s">
        <v>196</v>
      </c>
      <c r="H4" s="26" t="s">
        <v>197</v>
      </c>
      <c r="I4" s="26" t="s">
        <v>198</v>
      </c>
      <c r="J4" s="26" t="s">
        <v>199</v>
      </c>
      <c r="K4" s="26" t="s">
        <v>200</v>
      </c>
      <c r="L4" s="28" t="s">
        <v>201</v>
      </c>
      <c r="M4" s="26" t="s">
        <v>205</v>
      </c>
    </row>
    <row r="5" spans="1:13" x14ac:dyDescent="0.25">
      <c r="A5" s="25" t="s">
        <v>206</v>
      </c>
      <c r="B5" s="26" t="s">
        <v>52</v>
      </c>
      <c r="C5" s="27">
        <v>6</v>
      </c>
      <c r="D5" s="27">
        <v>0</v>
      </c>
      <c r="E5" s="27">
        <v>0</v>
      </c>
      <c r="F5" s="27">
        <v>0</v>
      </c>
      <c r="G5" s="26" t="s">
        <v>196</v>
      </c>
      <c r="H5" s="26" t="s">
        <v>197</v>
      </c>
      <c r="I5" s="26" t="s">
        <v>198</v>
      </c>
      <c r="J5" s="26" t="s">
        <v>199</v>
      </c>
      <c r="K5" s="26" t="s">
        <v>207</v>
      </c>
      <c r="L5" s="28" t="s">
        <v>201</v>
      </c>
      <c r="M5" s="26" t="s">
        <v>208</v>
      </c>
    </row>
    <row r="6" spans="1:13" x14ac:dyDescent="0.25">
      <c r="A6" s="25" t="s">
        <v>209</v>
      </c>
      <c r="B6" s="26" t="s">
        <v>52</v>
      </c>
      <c r="C6" s="27">
        <v>6</v>
      </c>
      <c r="D6" s="27">
        <v>0</v>
      </c>
      <c r="E6" s="27">
        <v>0</v>
      </c>
      <c r="F6" s="27">
        <v>0</v>
      </c>
      <c r="G6" s="26" t="s">
        <v>196</v>
      </c>
      <c r="H6" s="26" t="s">
        <v>197</v>
      </c>
      <c r="I6" s="26" t="s">
        <v>198</v>
      </c>
      <c r="J6" s="26" t="s">
        <v>199</v>
      </c>
      <c r="K6" s="26" t="s">
        <v>210</v>
      </c>
      <c r="L6" s="28" t="s">
        <v>201</v>
      </c>
      <c r="M6" s="26" t="s">
        <v>211</v>
      </c>
    </row>
    <row r="7" spans="1:13" x14ac:dyDescent="0.25">
      <c r="A7" s="25" t="s">
        <v>212</v>
      </c>
      <c r="B7" s="26" t="s">
        <v>52</v>
      </c>
      <c r="C7" s="27">
        <v>6</v>
      </c>
      <c r="D7" s="27">
        <v>0</v>
      </c>
      <c r="E7" s="27">
        <v>0</v>
      </c>
      <c r="F7" s="27">
        <v>0</v>
      </c>
      <c r="G7" s="26" t="s">
        <v>196</v>
      </c>
      <c r="H7" s="26" t="s">
        <v>197</v>
      </c>
      <c r="I7" s="26" t="s">
        <v>198</v>
      </c>
      <c r="J7" s="26" t="s">
        <v>199</v>
      </c>
      <c r="K7" s="26" t="s">
        <v>200</v>
      </c>
      <c r="L7" s="28" t="s">
        <v>201</v>
      </c>
      <c r="M7" s="26" t="s">
        <v>213</v>
      </c>
    </row>
    <row r="8" spans="1:13" x14ac:dyDescent="0.25">
      <c r="A8" s="25" t="s">
        <v>214</v>
      </c>
      <c r="B8" s="26" t="s">
        <v>52</v>
      </c>
      <c r="C8" s="27">
        <v>6</v>
      </c>
      <c r="D8" s="27">
        <v>0</v>
      </c>
      <c r="E8" s="27">
        <v>0</v>
      </c>
      <c r="F8" s="27">
        <v>0</v>
      </c>
      <c r="G8" s="26" t="s">
        <v>196</v>
      </c>
      <c r="H8" s="26" t="s">
        <v>197</v>
      </c>
      <c r="I8" s="26" t="s">
        <v>198</v>
      </c>
      <c r="J8" s="26" t="s">
        <v>199</v>
      </c>
      <c r="K8" s="26" t="s">
        <v>200</v>
      </c>
      <c r="L8" s="28" t="s">
        <v>201</v>
      </c>
      <c r="M8" s="26" t="s">
        <v>2</v>
      </c>
    </row>
    <row r="9" spans="1:13" x14ac:dyDescent="0.25">
      <c r="A9" s="25" t="s">
        <v>215</v>
      </c>
      <c r="B9" s="26" t="s">
        <v>52</v>
      </c>
      <c r="C9" s="27">
        <v>12</v>
      </c>
      <c r="D9" s="27">
        <v>0</v>
      </c>
      <c r="E9" s="27">
        <v>0</v>
      </c>
      <c r="F9" s="27">
        <v>0</v>
      </c>
      <c r="G9" s="26" t="s">
        <v>216</v>
      </c>
      <c r="H9" s="26" t="s">
        <v>197</v>
      </c>
      <c r="I9" s="26" t="s">
        <v>198</v>
      </c>
      <c r="J9" s="26" t="s">
        <v>199</v>
      </c>
      <c r="K9" s="26" t="s">
        <v>217</v>
      </c>
      <c r="L9" s="28" t="s">
        <v>201</v>
      </c>
      <c r="M9" s="26" t="s">
        <v>218</v>
      </c>
    </row>
    <row r="10" spans="1:13" x14ac:dyDescent="0.25">
      <c r="A10" s="25" t="s">
        <v>219</v>
      </c>
      <c r="B10" s="26" t="s">
        <v>52</v>
      </c>
      <c r="C10" s="27">
        <v>6</v>
      </c>
      <c r="D10" s="27">
        <v>0</v>
      </c>
      <c r="E10" s="27">
        <v>0</v>
      </c>
      <c r="F10" s="27">
        <v>0</v>
      </c>
      <c r="G10" s="26" t="s">
        <v>196</v>
      </c>
      <c r="H10" s="26" t="s">
        <v>197</v>
      </c>
      <c r="I10" s="26" t="s">
        <v>198</v>
      </c>
      <c r="J10" s="26" t="s">
        <v>199</v>
      </c>
      <c r="K10" s="26" t="s">
        <v>200</v>
      </c>
      <c r="L10" s="28" t="s">
        <v>201</v>
      </c>
      <c r="M10" s="26" t="s">
        <v>220</v>
      </c>
    </row>
    <row r="11" spans="1:13" x14ac:dyDescent="0.25">
      <c r="A11" s="25" t="s">
        <v>221</v>
      </c>
      <c r="B11" s="26" t="s">
        <v>52</v>
      </c>
      <c r="C11" s="27">
        <v>12</v>
      </c>
      <c r="D11" s="27">
        <v>0</v>
      </c>
      <c r="E11" s="27">
        <v>0</v>
      </c>
      <c r="F11" s="27">
        <v>0</v>
      </c>
      <c r="G11" s="26" t="s">
        <v>216</v>
      </c>
      <c r="H11" s="26" t="s">
        <v>197</v>
      </c>
      <c r="I11" s="26" t="s">
        <v>198</v>
      </c>
      <c r="J11" s="26" t="s">
        <v>199</v>
      </c>
      <c r="K11" s="26" t="s">
        <v>217</v>
      </c>
      <c r="L11" s="28" t="s">
        <v>201</v>
      </c>
      <c r="M11" s="26" t="s">
        <v>222</v>
      </c>
    </row>
    <row r="12" spans="1:13" x14ac:dyDescent="0.25">
      <c r="A12" s="25" t="s">
        <v>223</v>
      </c>
      <c r="B12" s="26" t="s">
        <v>52</v>
      </c>
      <c r="C12" s="27">
        <v>60</v>
      </c>
      <c r="D12" s="27">
        <v>0</v>
      </c>
      <c r="E12" s="27">
        <v>0</v>
      </c>
      <c r="F12" s="27">
        <v>0</v>
      </c>
      <c r="G12" s="26" t="s">
        <v>224</v>
      </c>
      <c r="H12" s="26" t="s">
        <v>197</v>
      </c>
      <c r="I12" s="26" t="s">
        <v>225</v>
      </c>
      <c r="J12" s="26" t="s">
        <v>226</v>
      </c>
      <c r="K12" s="26" t="s">
        <v>227</v>
      </c>
      <c r="L12" s="28" t="s">
        <v>201</v>
      </c>
      <c r="M12" s="26" t="s">
        <v>228</v>
      </c>
    </row>
    <row r="13" spans="1:13" x14ac:dyDescent="0.25">
      <c r="A13" s="25" t="s">
        <v>109</v>
      </c>
      <c r="B13" s="26" t="s">
        <v>52</v>
      </c>
      <c r="C13" s="27">
        <v>12</v>
      </c>
      <c r="D13" s="27">
        <v>0</v>
      </c>
      <c r="E13" s="27">
        <v>0</v>
      </c>
      <c r="F13" s="27">
        <v>0</v>
      </c>
      <c r="G13" s="26" t="s">
        <v>216</v>
      </c>
      <c r="H13" s="26" t="s">
        <v>197</v>
      </c>
      <c r="I13" s="26" t="s">
        <v>198</v>
      </c>
      <c r="J13" s="26" t="s">
        <v>199</v>
      </c>
      <c r="K13" s="26" t="s">
        <v>217</v>
      </c>
      <c r="L13" s="28" t="s">
        <v>201</v>
      </c>
      <c r="M13" s="26" t="s">
        <v>229</v>
      </c>
    </row>
    <row r="14" spans="1:13" x14ac:dyDescent="0.25">
      <c r="A14" s="25" t="s">
        <v>230</v>
      </c>
      <c r="B14" s="26" t="s">
        <v>52</v>
      </c>
      <c r="C14" s="27">
        <v>12</v>
      </c>
      <c r="D14" s="27">
        <v>0</v>
      </c>
      <c r="E14" s="27">
        <v>0</v>
      </c>
      <c r="F14" s="27">
        <v>0</v>
      </c>
      <c r="G14" s="26" t="s">
        <v>216</v>
      </c>
      <c r="H14" s="26" t="s">
        <v>197</v>
      </c>
      <c r="I14" s="26" t="s">
        <v>198</v>
      </c>
      <c r="J14" s="26" t="s">
        <v>199</v>
      </c>
      <c r="K14" s="26" t="s">
        <v>217</v>
      </c>
      <c r="L14" s="28" t="s">
        <v>201</v>
      </c>
      <c r="M14" s="26" t="s">
        <v>2</v>
      </c>
    </row>
    <row r="15" spans="1:13" x14ac:dyDescent="0.25">
      <c r="A15" s="25" t="s">
        <v>116</v>
      </c>
      <c r="B15" s="26" t="s">
        <v>52</v>
      </c>
      <c r="C15" s="27">
        <v>12</v>
      </c>
      <c r="D15" s="27">
        <v>0</v>
      </c>
      <c r="E15" s="27">
        <v>0</v>
      </c>
      <c r="F15" s="27">
        <v>0</v>
      </c>
      <c r="G15" s="26" t="s">
        <v>216</v>
      </c>
      <c r="H15" s="26" t="s">
        <v>197</v>
      </c>
      <c r="I15" s="26" t="s">
        <v>198</v>
      </c>
      <c r="J15" s="26" t="s">
        <v>199</v>
      </c>
      <c r="K15" s="26" t="s">
        <v>217</v>
      </c>
      <c r="L15" s="28" t="s">
        <v>201</v>
      </c>
      <c r="M15" s="26" t="s">
        <v>231</v>
      </c>
    </row>
    <row r="16" spans="1:13" x14ac:dyDescent="0.25">
      <c r="A16" s="25" t="s">
        <v>232</v>
      </c>
      <c r="B16" s="26" t="s">
        <v>52</v>
      </c>
      <c r="C16" s="27">
        <v>6</v>
      </c>
      <c r="D16" s="27">
        <v>0</v>
      </c>
      <c r="E16" s="27">
        <v>0</v>
      </c>
      <c r="F16" s="27">
        <v>0</v>
      </c>
      <c r="G16" s="26" t="s">
        <v>196</v>
      </c>
      <c r="H16" s="26" t="s">
        <v>197</v>
      </c>
      <c r="I16" s="26" t="s">
        <v>198</v>
      </c>
      <c r="J16" s="26" t="s">
        <v>199</v>
      </c>
      <c r="K16" s="26" t="s">
        <v>207</v>
      </c>
      <c r="L16" s="28" t="s">
        <v>201</v>
      </c>
      <c r="M16" s="26" t="s">
        <v>233</v>
      </c>
    </row>
    <row r="17" spans="1:13" x14ac:dyDescent="0.25">
      <c r="A17" s="25" t="s">
        <v>234</v>
      </c>
      <c r="B17" s="26" t="s">
        <v>52</v>
      </c>
      <c r="C17" s="27">
        <v>6</v>
      </c>
      <c r="D17" s="27">
        <v>0</v>
      </c>
      <c r="E17" s="27">
        <v>0</v>
      </c>
      <c r="F17" s="27">
        <v>0</v>
      </c>
      <c r="G17" s="26" t="s">
        <v>196</v>
      </c>
      <c r="H17" s="26" t="s">
        <v>197</v>
      </c>
      <c r="I17" s="26" t="s">
        <v>198</v>
      </c>
      <c r="J17" s="26" t="s">
        <v>199</v>
      </c>
      <c r="K17" s="26" t="s">
        <v>200</v>
      </c>
      <c r="L17" s="28" t="s">
        <v>201</v>
      </c>
      <c r="M17" s="26" t="s">
        <v>235</v>
      </c>
    </row>
    <row r="18" spans="1:13" x14ac:dyDescent="0.25">
      <c r="A18" s="25" t="s">
        <v>236</v>
      </c>
      <c r="B18" s="26" t="s">
        <v>52</v>
      </c>
      <c r="C18" s="27">
        <v>6</v>
      </c>
      <c r="D18" s="27">
        <v>0</v>
      </c>
      <c r="E18" s="27">
        <v>0</v>
      </c>
      <c r="F18" s="27">
        <v>0</v>
      </c>
      <c r="G18" s="26" t="s">
        <v>196</v>
      </c>
      <c r="H18" s="26" t="s">
        <v>197</v>
      </c>
      <c r="I18" s="26" t="s">
        <v>198</v>
      </c>
      <c r="J18" s="26" t="s">
        <v>199</v>
      </c>
      <c r="K18" s="26" t="s">
        <v>200</v>
      </c>
      <c r="L18" s="28" t="s">
        <v>201</v>
      </c>
      <c r="M18" s="26" t="s">
        <v>2</v>
      </c>
    </row>
    <row r="19" spans="1:13" x14ac:dyDescent="0.25">
      <c r="A19" s="25" t="s">
        <v>237</v>
      </c>
      <c r="B19" s="26" t="s">
        <v>52</v>
      </c>
      <c r="C19" s="27">
        <v>6</v>
      </c>
      <c r="D19" s="27">
        <v>0</v>
      </c>
      <c r="E19" s="27">
        <v>0</v>
      </c>
      <c r="F19" s="27">
        <v>0</v>
      </c>
      <c r="G19" s="26" t="s">
        <v>196</v>
      </c>
      <c r="H19" s="26" t="s">
        <v>197</v>
      </c>
      <c r="I19" s="26" t="s">
        <v>198</v>
      </c>
      <c r="J19" s="26" t="s">
        <v>199</v>
      </c>
      <c r="K19" s="26" t="s">
        <v>200</v>
      </c>
      <c r="L19" s="28" t="s">
        <v>201</v>
      </c>
      <c r="M19" s="26" t="s">
        <v>2</v>
      </c>
    </row>
    <row r="20" spans="1:13" x14ac:dyDescent="0.25">
      <c r="A20" s="25" t="s">
        <v>238</v>
      </c>
      <c r="B20" s="26" t="s">
        <v>52</v>
      </c>
      <c r="C20" s="27">
        <v>6</v>
      </c>
      <c r="D20" s="27">
        <v>0</v>
      </c>
      <c r="E20" s="27">
        <v>0</v>
      </c>
      <c r="F20" s="27">
        <v>0</v>
      </c>
      <c r="G20" s="26" t="s">
        <v>196</v>
      </c>
      <c r="H20" s="26" t="s">
        <v>197</v>
      </c>
      <c r="I20" s="26" t="s">
        <v>198</v>
      </c>
      <c r="J20" s="26" t="s">
        <v>199</v>
      </c>
      <c r="K20" s="26" t="s">
        <v>200</v>
      </c>
      <c r="L20" s="28" t="s">
        <v>201</v>
      </c>
      <c r="M20" s="26" t="s">
        <v>239</v>
      </c>
    </row>
    <row r="21" spans="1:13" x14ac:dyDescent="0.25">
      <c r="A21" s="25" t="s">
        <v>240</v>
      </c>
      <c r="B21" s="26" t="s">
        <v>52</v>
      </c>
      <c r="C21" s="27">
        <v>6</v>
      </c>
      <c r="D21" s="27">
        <v>0</v>
      </c>
      <c r="E21" s="27">
        <v>0</v>
      </c>
      <c r="F21" s="27">
        <v>0</v>
      </c>
      <c r="G21" s="26" t="s">
        <v>196</v>
      </c>
      <c r="H21" s="26" t="s">
        <v>197</v>
      </c>
      <c r="I21" s="26" t="s">
        <v>198</v>
      </c>
      <c r="J21" s="26" t="s">
        <v>199</v>
      </c>
      <c r="K21" s="26" t="s">
        <v>200</v>
      </c>
      <c r="L21" s="28" t="s">
        <v>201</v>
      </c>
      <c r="M21" s="26" t="s">
        <v>241</v>
      </c>
    </row>
    <row r="22" spans="1:13" x14ac:dyDescent="0.25">
      <c r="A22" s="25" t="s">
        <v>242</v>
      </c>
      <c r="B22" s="26" t="s">
        <v>52</v>
      </c>
      <c r="C22" s="27">
        <v>6</v>
      </c>
      <c r="D22" s="27">
        <v>0</v>
      </c>
      <c r="E22" s="27">
        <v>0</v>
      </c>
      <c r="F22" s="27">
        <v>0</v>
      </c>
      <c r="G22" s="26" t="s">
        <v>196</v>
      </c>
      <c r="H22" s="26" t="s">
        <v>197</v>
      </c>
      <c r="I22" s="26" t="s">
        <v>198</v>
      </c>
      <c r="J22" s="26" t="s">
        <v>199</v>
      </c>
      <c r="K22" s="26" t="s">
        <v>200</v>
      </c>
      <c r="L22" s="28" t="s">
        <v>201</v>
      </c>
      <c r="M22" s="26" t="s">
        <v>2</v>
      </c>
    </row>
    <row r="23" spans="1:13" x14ac:dyDescent="0.25">
      <c r="A23" s="25" t="s">
        <v>243</v>
      </c>
      <c r="B23" s="26" t="s">
        <v>52</v>
      </c>
      <c r="C23" s="27">
        <v>12</v>
      </c>
      <c r="D23" s="27">
        <v>0</v>
      </c>
      <c r="E23" s="27">
        <v>0</v>
      </c>
      <c r="F23" s="27">
        <v>0</v>
      </c>
      <c r="G23" s="26" t="s">
        <v>216</v>
      </c>
      <c r="H23" s="26" t="s">
        <v>197</v>
      </c>
      <c r="I23" s="26" t="s">
        <v>198</v>
      </c>
      <c r="J23" s="26" t="s">
        <v>199</v>
      </c>
      <c r="K23" s="26" t="s">
        <v>217</v>
      </c>
      <c r="L23" s="28" t="s">
        <v>201</v>
      </c>
      <c r="M23" s="26" t="s">
        <v>244</v>
      </c>
    </row>
    <row r="24" spans="1:13" x14ac:dyDescent="0.25">
      <c r="A24" s="25" t="s">
        <v>245</v>
      </c>
      <c r="B24" s="26" t="s">
        <v>52</v>
      </c>
      <c r="C24" s="27">
        <v>12</v>
      </c>
      <c r="D24" s="27">
        <v>0</v>
      </c>
      <c r="E24" s="27">
        <v>0</v>
      </c>
      <c r="F24" s="27">
        <v>0</v>
      </c>
      <c r="G24" s="26" t="s">
        <v>216</v>
      </c>
      <c r="H24" s="26" t="s">
        <v>197</v>
      </c>
      <c r="I24" s="26" t="s">
        <v>198</v>
      </c>
      <c r="J24" s="26" t="s">
        <v>199</v>
      </c>
      <c r="K24" s="26" t="s">
        <v>217</v>
      </c>
      <c r="L24" s="28" t="s">
        <v>201</v>
      </c>
      <c r="M24" s="26" t="s">
        <v>2</v>
      </c>
    </row>
    <row r="25" spans="1:13" x14ac:dyDescent="0.25">
      <c r="A25" s="25" t="s">
        <v>246</v>
      </c>
      <c r="B25" s="26" t="s">
        <v>52</v>
      </c>
      <c r="C25" s="27">
        <v>12</v>
      </c>
      <c r="D25" s="27">
        <v>0</v>
      </c>
      <c r="E25" s="27">
        <v>0</v>
      </c>
      <c r="F25" s="27">
        <v>0</v>
      </c>
      <c r="G25" s="26" t="s">
        <v>216</v>
      </c>
      <c r="H25" s="26" t="s">
        <v>197</v>
      </c>
      <c r="I25" s="26" t="s">
        <v>198</v>
      </c>
      <c r="J25" s="26" t="s">
        <v>199</v>
      </c>
      <c r="K25" s="26" t="s">
        <v>217</v>
      </c>
      <c r="L25" s="28" t="s">
        <v>201</v>
      </c>
      <c r="M25" s="26" t="s">
        <v>247</v>
      </c>
    </row>
    <row r="26" spans="1:13" x14ac:dyDescent="0.25">
      <c r="A26" s="25" t="s">
        <v>248</v>
      </c>
      <c r="B26" s="26" t="s">
        <v>52</v>
      </c>
      <c r="C26" s="27">
        <v>12</v>
      </c>
      <c r="D26" s="27">
        <v>0</v>
      </c>
      <c r="E26" s="27">
        <v>0</v>
      </c>
      <c r="F26" s="27">
        <v>0</v>
      </c>
      <c r="G26" s="26" t="s">
        <v>216</v>
      </c>
      <c r="H26" s="26" t="s">
        <v>197</v>
      </c>
      <c r="I26" s="26" t="s">
        <v>198</v>
      </c>
      <c r="J26" s="26" t="s">
        <v>199</v>
      </c>
      <c r="K26" s="26" t="s">
        <v>217</v>
      </c>
      <c r="L26" s="28" t="s">
        <v>201</v>
      </c>
      <c r="M26" s="26" t="s">
        <v>249</v>
      </c>
    </row>
    <row r="27" spans="1:13" x14ac:dyDescent="0.25">
      <c r="A27" s="25" t="s">
        <v>250</v>
      </c>
      <c r="B27" s="26" t="s">
        <v>52</v>
      </c>
      <c r="C27" s="27">
        <v>12</v>
      </c>
      <c r="D27" s="27">
        <v>0</v>
      </c>
      <c r="E27" s="27">
        <v>0</v>
      </c>
      <c r="F27" s="27">
        <v>0</v>
      </c>
      <c r="G27" s="26" t="s">
        <v>216</v>
      </c>
      <c r="H27" s="26" t="s">
        <v>197</v>
      </c>
      <c r="I27" s="26" t="s">
        <v>198</v>
      </c>
      <c r="J27" s="26" t="s">
        <v>199</v>
      </c>
      <c r="K27" s="26" t="s">
        <v>217</v>
      </c>
      <c r="L27" s="28" t="s">
        <v>201</v>
      </c>
      <c r="M27" s="26" t="s">
        <v>251</v>
      </c>
    </row>
    <row r="28" spans="1:13" x14ac:dyDescent="0.25">
      <c r="A28" s="25" t="s">
        <v>104</v>
      </c>
      <c r="B28" s="26" t="s">
        <v>53</v>
      </c>
      <c r="C28" s="27">
        <v>6</v>
      </c>
      <c r="D28" s="27">
        <v>0</v>
      </c>
      <c r="E28" s="27">
        <v>0</v>
      </c>
      <c r="F28" s="27">
        <v>0</v>
      </c>
      <c r="G28" s="26" t="s">
        <v>196</v>
      </c>
      <c r="H28" s="26" t="s">
        <v>197</v>
      </c>
      <c r="I28" s="26" t="s">
        <v>198</v>
      </c>
      <c r="J28" s="26" t="s">
        <v>199</v>
      </c>
      <c r="K28" s="26" t="s">
        <v>200</v>
      </c>
      <c r="L28" s="28" t="s">
        <v>201</v>
      </c>
      <c r="M28" s="26" t="s">
        <v>252</v>
      </c>
    </row>
    <row r="29" spans="1:13" x14ac:dyDescent="0.25">
      <c r="A29" s="25" t="s">
        <v>253</v>
      </c>
      <c r="B29" s="26" t="s">
        <v>53</v>
      </c>
      <c r="C29" s="27">
        <v>6</v>
      </c>
      <c r="D29" s="27">
        <v>0</v>
      </c>
      <c r="E29" s="27">
        <v>0</v>
      </c>
      <c r="F29" s="27">
        <v>0</v>
      </c>
      <c r="G29" s="26" t="s">
        <v>196</v>
      </c>
      <c r="H29" s="26" t="s">
        <v>197</v>
      </c>
      <c r="I29" s="26" t="s">
        <v>198</v>
      </c>
      <c r="J29" s="26" t="s">
        <v>199</v>
      </c>
      <c r="K29" s="26" t="s">
        <v>254</v>
      </c>
      <c r="L29" s="28" t="s">
        <v>201</v>
      </c>
      <c r="M29" s="26" t="s">
        <v>2</v>
      </c>
    </row>
    <row r="30" spans="1:13" x14ac:dyDescent="0.25">
      <c r="A30" s="25" t="s">
        <v>255</v>
      </c>
      <c r="B30" s="26" t="s">
        <v>53</v>
      </c>
      <c r="C30" s="27">
        <v>6</v>
      </c>
      <c r="D30" s="27">
        <v>0</v>
      </c>
      <c r="E30" s="27">
        <v>0</v>
      </c>
      <c r="F30" s="27">
        <v>0</v>
      </c>
      <c r="G30" s="26" t="s">
        <v>196</v>
      </c>
      <c r="H30" s="26" t="s">
        <v>197</v>
      </c>
      <c r="I30" s="26" t="s">
        <v>198</v>
      </c>
      <c r="J30" s="26" t="s">
        <v>199</v>
      </c>
      <c r="K30" s="26" t="s">
        <v>256</v>
      </c>
      <c r="L30" s="28" t="s">
        <v>201</v>
      </c>
      <c r="M30" s="26" t="s">
        <v>2</v>
      </c>
    </row>
    <row r="31" spans="1:13" x14ac:dyDescent="0.25">
      <c r="A31" s="25" t="s">
        <v>257</v>
      </c>
      <c r="B31" s="26" t="s">
        <v>53</v>
      </c>
      <c r="C31" s="27">
        <v>6</v>
      </c>
      <c r="D31" s="27">
        <v>0</v>
      </c>
      <c r="E31" s="27">
        <v>0</v>
      </c>
      <c r="F31" s="27">
        <v>0</v>
      </c>
      <c r="G31" s="26" t="s">
        <v>196</v>
      </c>
      <c r="H31" s="26" t="s">
        <v>197</v>
      </c>
      <c r="I31" s="26" t="s">
        <v>198</v>
      </c>
      <c r="J31" s="26" t="s">
        <v>199</v>
      </c>
      <c r="K31" s="26" t="s">
        <v>254</v>
      </c>
      <c r="L31" s="28" t="s">
        <v>201</v>
      </c>
      <c r="M31" s="26" t="s">
        <v>258</v>
      </c>
    </row>
    <row r="32" spans="1:13" x14ac:dyDescent="0.25">
      <c r="A32" s="25" t="s">
        <v>259</v>
      </c>
      <c r="B32" s="26" t="s">
        <v>53</v>
      </c>
      <c r="C32" s="27">
        <v>6</v>
      </c>
      <c r="D32" s="27">
        <v>0</v>
      </c>
      <c r="E32" s="27">
        <v>0</v>
      </c>
      <c r="F32" s="27">
        <v>0</v>
      </c>
      <c r="G32" s="26" t="s">
        <v>196</v>
      </c>
      <c r="H32" s="26" t="s">
        <v>197</v>
      </c>
      <c r="I32" s="26" t="s">
        <v>198</v>
      </c>
      <c r="J32" s="26" t="s">
        <v>199</v>
      </c>
      <c r="K32" s="26" t="s">
        <v>254</v>
      </c>
      <c r="L32" s="28" t="s">
        <v>201</v>
      </c>
      <c r="M32" s="26" t="s">
        <v>260</v>
      </c>
    </row>
    <row r="33" spans="1:13" x14ac:dyDescent="0.25">
      <c r="A33" s="25" t="s">
        <v>261</v>
      </c>
      <c r="B33" s="26" t="s">
        <v>53</v>
      </c>
      <c r="C33" s="27">
        <v>6</v>
      </c>
      <c r="D33" s="27">
        <v>0</v>
      </c>
      <c r="E33" s="27">
        <v>0</v>
      </c>
      <c r="F33" s="27">
        <v>0</v>
      </c>
      <c r="G33" s="26" t="s">
        <v>196</v>
      </c>
      <c r="H33" s="26" t="s">
        <v>197</v>
      </c>
      <c r="I33" s="26" t="s">
        <v>198</v>
      </c>
      <c r="J33" s="26" t="s">
        <v>199</v>
      </c>
      <c r="K33" s="26" t="s">
        <v>254</v>
      </c>
      <c r="L33" s="28" t="s">
        <v>201</v>
      </c>
      <c r="M33" s="26" t="s">
        <v>2</v>
      </c>
    </row>
    <row r="34" spans="1:13" x14ac:dyDescent="0.25">
      <c r="A34" s="25" t="s">
        <v>262</v>
      </c>
      <c r="B34" s="26" t="s">
        <v>53</v>
      </c>
      <c r="C34" s="27">
        <v>3</v>
      </c>
      <c r="D34" s="27">
        <v>0</v>
      </c>
      <c r="E34" s="27">
        <v>0</v>
      </c>
      <c r="F34" s="27">
        <v>0</v>
      </c>
      <c r="G34" s="26" t="s">
        <v>263</v>
      </c>
      <c r="H34" s="26" t="s">
        <v>197</v>
      </c>
      <c r="I34" s="26" t="s">
        <v>198</v>
      </c>
      <c r="J34" s="26" t="s">
        <v>199</v>
      </c>
      <c r="K34" s="26" t="s">
        <v>264</v>
      </c>
      <c r="L34" s="28" t="s">
        <v>201</v>
      </c>
      <c r="M34" s="26" t="s">
        <v>265</v>
      </c>
    </row>
    <row r="35" spans="1:13" x14ac:dyDescent="0.25">
      <c r="A35" s="25" t="s">
        <v>113</v>
      </c>
      <c r="B35" s="26" t="s">
        <v>54</v>
      </c>
      <c r="C35" s="27">
        <v>12</v>
      </c>
      <c r="D35" s="27">
        <v>0</v>
      </c>
      <c r="E35" s="27">
        <v>0</v>
      </c>
      <c r="F35" s="27">
        <v>0</v>
      </c>
      <c r="G35" s="26" t="s">
        <v>216</v>
      </c>
      <c r="H35" s="26" t="s">
        <v>197</v>
      </c>
      <c r="I35" s="26" t="s">
        <v>266</v>
      </c>
      <c r="J35" s="26" t="s">
        <v>199</v>
      </c>
      <c r="K35" s="26" t="s">
        <v>267</v>
      </c>
      <c r="L35" s="28" t="s">
        <v>201</v>
      </c>
      <c r="M35" s="26" t="s">
        <v>268</v>
      </c>
    </row>
    <row r="36" spans="1:13" x14ac:dyDescent="0.25">
      <c r="A36" s="25" t="s">
        <v>269</v>
      </c>
      <c r="B36" s="26" t="s">
        <v>54</v>
      </c>
      <c r="C36" s="27">
        <v>12</v>
      </c>
      <c r="D36" s="27">
        <v>0</v>
      </c>
      <c r="E36" s="27">
        <v>0</v>
      </c>
      <c r="F36" s="27">
        <v>0</v>
      </c>
      <c r="G36" s="26" t="s">
        <v>216</v>
      </c>
      <c r="H36" s="26" t="s">
        <v>197</v>
      </c>
      <c r="I36" s="26" t="s">
        <v>266</v>
      </c>
      <c r="J36" s="26" t="s">
        <v>199</v>
      </c>
      <c r="K36" s="26" t="s">
        <v>267</v>
      </c>
      <c r="L36" s="28" t="s">
        <v>201</v>
      </c>
      <c r="M36" s="26" t="s">
        <v>270</v>
      </c>
    </row>
    <row r="37" spans="1:13" x14ac:dyDescent="0.25">
      <c r="A37" s="25" t="s">
        <v>271</v>
      </c>
      <c r="B37" s="26" t="s">
        <v>54</v>
      </c>
      <c r="C37" s="27">
        <v>12</v>
      </c>
      <c r="D37" s="27">
        <v>0</v>
      </c>
      <c r="E37" s="27">
        <v>0</v>
      </c>
      <c r="F37" s="27">
        <v>0</v>
      </c>
      <c r="G37" s="26" t="s">
        <v>216</v>
      </c>
      <c r="H37" s="26" t="s">
        <v>197</v>
      </c>
      <c r="I37" s="26" t="s">
        <v>266</v>
      </c>
      <c r="J37" s="26" t="s">
        <v>199</v>
      </c>
      <c r="K37" s="26" t="s">
        <v>267</v>
      </c>
      <c r="L37" s="28" t="s">
        <v>201</v>
      </c>
      <c r="M37" s="26" t="s">
        <v>272</v>
      </c>
    </row>
    <row r="38" spans="1:13" x14ac:dyDescent="0.25">
      <c r="A38" s="25" t="s">
        <v>273</v>
      </c>
      <c r="B38" s="26" t="s">
        <v>55</v>
      </c>
      <c r="C38" s="27">
        <v>3</v>
      </c>
      <c r="D38" s="27">
        <v>0</v>
      </c>
      <c r="E38" s="27">
        <v>0</v>
      </c>
      <c r="F38" s="27">
        <v>0</v>
      </c>
      <c r="G38" s="26" t="s">
        <v>263</v>
      </c>
      <c r="H38" s="26" t="s">
        <v>197</v>
      </c>
      <c r="I38" s="26" t="s">
        <v>198</v>
      </c>
      <c r="J38" s="26" t="s">
        <v>199</v>
      </c>
      <c r="K38" s="26" t="s">
        <v>274</v>
      </c>
      <c r="L38" s="28" t="s">
        <v>201</v>
      </c>
      <c r="M38" s="26" t="s">
        <v>275</v>
      </c>
    </row>
    <row r="39" spans="1:13" x14ac:dyDescent="0.25">
      <c r="A39" s="25" t="s">
        <v>276</v>
      </c>
      <c r="B39" s="26" t="s">
        <v>55</v>
      </c>
      <c r="C39" s="27">
        <v>3</v>
      </c>
      <c r="D39" s="27">
        <v>0</v>
      </c>
      <c r="E39" s="27">
        <v>0</v>
      </c>
      <c r="F39" s="27">
        <v>0</v>
      </c>
      <c r="G39" s="26" t="s">
        <v>263</v>
      </c>
      <c r="H39" s="26" t="s">
        <v>197</v>
      </c>
      <c r="I39" s="26" t="s">
        <v>198</v>
      </c>
      <c r="J39" s="26" t="s">
        <v>199</v>
      </c>
      <c r="K39" s="26" t="s">
        <v>274</v>
      </c>
      <c r="L39" s="28" t="s">
        <v>201</v>
      </c>
      <c r="M39" s="26" t="s">
        <v>277</v>
      </c>
    </row>
    <row r="40" spans="1:13" x14ac:dyDescent="0.25">
      <c r="A40" s="25" t="s">
        <v>278</v>
      </c>
      <c r="B40" s="26" t="s">
        <v>55</v>
      </c>
      <c r="C40" s="27">
        <v>3</v>
      </c>
      <c r="D40" s="27">
        <v>0</v>
      </c>
      <c r="E40" s="27">
        <v>0</v>
      </c>
      <c r="F40" s="27">
        <v>0</v>
      </c>
      <c r="G40" s="26" t="s">
        <v>263</v>
      </c>
      <c r="H40" s="26" t="s">
        <v>197</v>
      </c>
      <c r="I40" s="26" t="s">
        <v>198</v>
      </c>
      <c r="J40" s="26" t="s">
        <v>199</v>
      </c>
      <c r="K40" s="26" t="s">
        <v>274</v>
      </c>
      <c r="L40" s="28" t="s">
        <v>201</v>
      </c>
      <c r="M40" s="26" t="s">
        <v>279</v>
      </c>
    </row>
    <row r="41" spans="1:13" x14ac:dyDescent="0.25">
      <c r="A41" s="25" t="s">
        <v>280</v>
      </c>
      <c r="B41" s="26" t="s">
        <v>55</v>
      </c>
      <c r="C41" s="27">
        <v>3</v>
      </c>
      <c r="D41" s="27">
        <v>0</v>
      </c>
      <c r="E41" s="27">
        <v>0</v>
      </c>
      <c r="F41" s="27">
        <v>0</v>
      </c>
      <c r="G41" s="26" t="s">
        <v>263</v>
      </c>
      <c r="H41" s="26" t="s">
        <v>197</v>
      </c>
      <c r="I41" s="26" t="s">
        <v>198</v>
      </c>
      <c r="J41" s="26" t="s">
        <v>199</v>
      </c>
      <c r="K41" s="26" t="s">
        <v>274</v>
      </c>
      <c r="L41" s="28" t="s">
        <v>201</v>
      </c>
      <c r="M41" s="26" t="s">
        <v>281</v>
      </c>
    </row>
    <row r="42" spans="1:13" x14ac:dyDescent="0.25">
      <c r="A42" s="25" t="s">
        <v>282</v>
      </c>
      <c r="B42" s="26" t="s">
        <v>55</v>
      </c>
      <c r="C42" s="27">
        <v>3</v>
      </c>
      <c r="D42" s="27">
        <v>0</v>
      </c>
      <c r="E42" s="27">
        <v>0</v>
      </c>
      <c r="F42" s="27">
        <v>0</v>
      </c>
      <c r="G42" s="26" t="s">
        <v>263</v>
      </c>
      <c r="H42" s="26" t="s">
        <v>197</v>
      </c>
      <c r="I42" s="26" t="s">
        <v>198</v>
      </c>
      <c r="J42" s="26" t="s">
        <v>199</v>
      </c>
      <c r="K42" s="26" t="s">
        <v>274</v>
      </c>
      <c r="L42" s="28" t="s">
        <v>201</v>
      </c>
      <c r="M42" s="26" t="s">
        <v>2</v>
      </c>
    </row>
    <row r="43" spans="1:13" x14ac:dyDescent="0.25">
      <c r="A43" s="25" t="s">
        <v>283</v>
      </c>
      <c r="B43" s="26" t="s">
        <v>55</v>
      </c>
      <c r="C43" s="27">
        <v>12</v>
      </c>
      <c r="D43" s="27">
        <v>0</v>
      </c>
      <c r="E43" s="27">
        <v>0</v>
      </c>
      <c r="F43" s="27">
        <v>0</v>
      </c>
      <c r="G43" s="26" t="s">
        <v>216</v>
      </c>
      <c r="H43" s="26" t="s">
        <v>197</v>
      </c>
      <c r="I43" s="26" t="s">
        <v>198</v>
      </c>
      <c r="J43" s="26" t="s">
        <v>199</v>
      </c>
      <c r="K43" s="26" t="s">
        <v>284</v>
      </c>
      <c r="L43" s="28" t="s">
        <v>201</v>
      </c>
      <c r="M43" s="26" t="s">
        <v>285</v>
      </c>
    </row>
    <row r="44" spans="1:13" x14ac:dyDescent="0.25">
      <c r="A44" s="25" t="s">
        <v>286</v>
      </c>
      <c r="B44" s="26" t="s">
        <v>55</v>
      </c>
      <c r="C44" s="27">
        <v>12</v>
      </c>
      <c r="D44" s="27">
        <v>0</v>
      </c>
      <c r="E44" s="27">
        <v>0</v>
      </c>
      <c r="F44" s="27">
        <v>0</v>
      </c>
      <c r="G44" s="26" t="s">
        <v>216</v>
      </c>
      <c r="H44" s="26" t="s">
        <v>197</v>
      </c>
      <c r="I44" s="26" t="s">
        <v>287</v>
      </c>
      <c r="J44" s="26" t="s">
        <v>288</v>
      </c>
      <c r="K44" s="26" t="s">
        <v>289</v>
      </c>
      <c r="L44" s="28" t="s">
        <v>201</v>
      </c>
      <c r="M44" s="26" t="s">
        <v>290</v>
      </c>
    </row>
    <row r="45" spans="1:13" x14ac:dyDescent="0.25">
      <c r="A45" s="25" t="s">
        <v>291</v>
      </c>
      <c r="B45" s="26" t="s">
        <v>55</v>
      </c>
      <c r="C45" s="27">
        <v>60</v>
      </c>
      <c r="D45" s="27">
        <v>0</v>
      </c>
      <c r="E45" s="27">
        <v>0</v>
      </c>
      <c r="F45" s="27">
        <v>0</v>
      </c>
      <c r="G45" s="26" t="s">
        <v>224</v>
      </c>
      <c r="H45" s="26" t="s">
        <v>197</v>
      </c>
      <c r="I45" s="26" t="s">
        <v>292</v>
      </c>
      <c r="J45" s="26" t="s">
        <v>288</v>
      </c>
      <c r="K45" s="26" t="s">
        <v>293</v>
      </c>
      <c r="L45" s="28" t="s">
        <v>201</v>
      </c>
      <c r="M45" s="26" t="s">
        <v>294</v>
      </c>
    </row>
    <row r="46" spans="1:13" x14ac:dyDescent="0.25">
      <c r="A46" s="25" t="s">
        <v>295</v>
      </c>
      <c r="B46" s="26" t="s">
        <v>56</v>
      </c>
      <c r="C46" s="27">
        <v>12</v>
      </c>
      <c r="D46" s="27">
        <v>0</v>
      </c>
      <c r="E46" s="27">
        <v>0</v>
      </c>
      <c r="F46" s="27">
        <v>0</v>
      </c>
      <c r="G46" s="26" t="s">
        <v>216</v>
      </c>
      <c r="H46" s="26" t="s">
        <v>197</v>
      </c>
      <c r="I46" s="26" t="s">
        <v>198</v>
      </c>
      <c r="J46" s="26" t="s">
        <v>199</v>
      </c>
      <c r="K46" s="26" t="s">
        <v>284</v>
      </c>
      <c r="L46" s="28" t="s">
        <v>201</v>
      </c>
      <c r="M46" s="26" t="s">
        <v>296</v>
      </c>
    </row>
    <row r="47" spans="1:13" x14ac:dyDescent="0.25">
      <c r="A47" s="25" t="s">
        <v>297</v>
      </c>
      <c r="B47" s="26" t="s">
        <v>56</v>
      </c>
      <c r="C47" s="27">
        <v>12</v>
      </c>
      <c r="D47" s="27">
        <v>0</v>
      </c>
      <c r="E47" s="27">
        <v>0</v>
      </c>
      <c r="F47" s="27">
        <v>0</v>
      </c>
      <c r="G47" s="26" t="s">
        <v>216</v>
      </c>
      <c r="H47" s="26" t="s">
        <v>197</v>
      </c>
      <c r="I47" s="26" t="s">
        <v>198</v>
      </c>
      <c r="J47" s="26" t="s">
        <v>199</v>
      </c>
      <c r="K47" s="26" t="s">
        <v>284</v>
      </c>
      <c r="L47" s="28" t="s">
        <v>201</v>
      </c>
      <c r="M47" s="26" t="s">
        <v>298</v>
      </c>
    </row>
    <row r="48" spans="1:13" x14ac:dyDescent="0.25">
      <c r="A48" s="25" t="s">
        <v>299</v>
      </c>
      <c r="B48" s="26" t="s">
        <v>56</v>
      </c>
      <c r="C48" s="27">
        <v>12</v>
      </c>
      <c r="D48" s="27">
        <v>0</v>
      </c>
      <c r="E48" s="27">
        <v>0</v>
      </c>
      <c r="F48" s="27">
        <v>0</v>
      </c>
      <c r="G48" s="26" t="s">
        <v>216</v>
      </c>
      <c r="H48" s="26" t="s">
        <v>197</v>
      </c>
      <c r="I48" s="26" t="s">
        <v>198</v>
      </c>
      <c r="J48" s="26" t="s">
        <v>199</v>
      </c>
      <c r="K48" s="26" t="s">
        <v>284</v>
      </c>
      <c r="L48" s="28" t="s">
        <v>201</v>
      </c>
      <c r="M48" s="26" t="s">
        <v>300</v>
      </c>
    </row>
    <row r="49" spans="1:13" x14ac:dyDescent="0.25">
      <c r="A49" s="25" t="s">
        <v>301</v>
      </c>
      <c r="B49" s="26" t="s">
        <v>56</v>
      </c>
      <c r="C49" s="27">
        <v>12</v>
      </c>
      <c r="D49" s="27">
        <v>0</v>
      </c>
      <c r="E49" s="27">
        <v>0</v>
      </c>
      <c r="F49" s="27">
        <v>0</v>
      </c>
      <c r="G49" s="26" t="s">
        <v>216</v>
      </c>
      <c r="H49" s="26" t="s">
        <v>197</v>
      </c>
      <c r="I49" s="26" t="s">
        <v>198</v>
      </c>
      <c r="J49" s="26" t="s">
        <v>199</v>
      </c>
      <c r="K49" s="26" t="s">
        <v>284</v>
      </c>
      <c r="L49" s="28" t="s">
        <v>201</v>
      </c>
      <c r="M49" s="26" t="s">
        <v>302</v>
      </c>
    </row>
    <row r="50" spans="1:13" x14ac:dyDescent="0.25">
      <c r="A50" s="25" t="s">
        <v>303</v>
      </c>
      <c r="B50" s="26" t="s">
        <v>56</v>
      </c>
      <c r="C50" s="27">
        <v>12</v>
      </c>
      <c r="D50" s="27">
        <v>0</v>
      </c>
      <c r="E50" s="27">
        <v>0</v>
      </c>
      <c r="F50" s="27">
        <v>0</v>
      </c>
      <c r="G50" s="26" t="s">
        <v>216</v>
      </c>
      <c r="H50" s="26" t="s">
        <v>197</v>
      </c>
      <c r="I50" s="26" t="s">
        <v>198</v>
      </c>
      <c r="J50" s="26" t="s">
        <v>199</v>
      </c>
      <c r="K50" s="26" t="s">
        <v>284</v>
      </c>
      <c r="L50" s="28" t="s">
        <v>201</v>
      </c>
      <c r="M50" s="26" t="s">
        <v>302</v>
      </c>
    </row>
    <row r="51" spans="1:13" x14ac:dyDescent="0.25">
      <c r="A51" s="25" t="s">
        <v>304</v>
      </c>
      <c r="B51" s="26" t="s">
        <v>56</v>
      </c>
      <c r="C51" s="27">
        <v>12</v>
      </c>
      <c r="D51" s="27">
        <v>0</v>
      </c>
      <c r="E51" s="27">
        <v>0</v>
      </c>
      <c r="F51" s="27">
        <v>0</v>
      </c>
      <c r="G51" s="26" t="s">
        <v>216</v>
      </c>
      <c r="H51" s="26" t="s">
        <v>197</v>
      </c>
      <c r="I51" s="26" t="s">
        <v>198</v>
      </c>
      <c r="J51" s="26" t="s">
        <v>199</v>
      </c>
      <c r="K51" s="26" t="s">
        <v>284</v>
      </c>
      <c r="L51" s="28" t="s">
        <v>201</v>
      </c>
      <c r="M51" s="26" t="s">
        <v>302</v>
      </c>
    </row>
    <row r="52" spans="1:13" x14ac:dyDescent="0.25">
      <c r="A52" s="25" t="s">
        <v>305</v>
      </c>
      <c r="B52" s="26" t="s">
        <v>56</v>
      </c>
      <c r="C52" s="27">
        <v>12</v>
      </c>
      <c r="D52" s="27">
        <v>0</v>
      </c>
      <c r="E52" s="27">
        <v>0</v>
      </c>
      <c r="F52" s="27">
        <v>0</v>
      </c>
      <c r="G52" s="26" t="s">
        <v>216</v>
      </c>
      <c r="H52" s="26" t="s">
        <v>197</v>
      </c>
      <c r="I52" s="26" t="s">
        <v>198</v>
      </c>
      <c r="J52" s="26" t="s">
        <v>199</v>
      </c>
      <c r="K52" s="26" t="s">
        <v>284</v>
      </c>
      <c r="L52" s="28" t="s">
        <v>201</v>
      </c>
      <c r="M52" s="26" t="s">
        <v>2</v>
      </c>
    </row>
    <row r="53" spans="1:13" x14ac:dyDescent="0.25">
      <c r="A53" s="25" t="s">
        <v>306</v>
      </c>
      <c r="B53" s="26" t="s">
        <v>57</v>
      </c>
      <c r="C53" s="27">
        <v>3</v>
      </c>
      <c r="D53" s="27">
        <v>0</v>
      </c>
      <c r="E53" s="27">
        <v>0</v>
      </c>
      <c r="F53" s="27">
        <v>0</v>
      </c>
      <c r="G53" s="26" t="s">
        <v>263</v>
      </c>
      <c r="H53" s="26" t="s">
        <v>197</v>
      </c>
      <c r="I53" s="26" t="s">
        <v>307</v>
      </c>
      <c r="J53" s="26" t="s">
        <v>308</v>
      </c>
      <c r="K53" s="26" t="s">
        <v>309</v>
      </c>
      <c r="L53" s="28" t="s">
        <v>201</v>
      </c>
      <c r="M53" s="26" t="s">
        <v>310</v>
      </c>
    </row>
    <row r="54" spans="1:13" x14ac:dyDescent="0.25">
      <c r="A54" s="25" t="s">
        <v>311</v>
      </c>
      <c r="B54" s="26" t="s">
        <v>57</v>
      </c>
      <c r="C54" s="27">
        <v>0</v>
      </c>
      <c r="D54" s="27">
        <v>12</v>
      </c>
      <c r="E54" s="27">
        <v>12</v>
      </c>
      <c r="F54" s="27">
        <v>0</v>
      </c>
      <c r="G54" s="26" t="s">
        <v>312</v>
      </c>
      <c r="H54" s="29" t="s">
        <v>313</v>
      </c>
      <c r="I54" s="26" t="s">
        <v>314</v>
      </c>
      <c r="J54" s="26" t="s">
        <v>315</v>
      </c>
      <c r="K54" s="26" t="s">
        <v>316</v>
      </c>
      <c r="L54" s="28" t="s">
        <v>201</v>
      </c>
      <c r="M54" s="26" t="s">
        <v>317</v>
      </c>
    </row>
    <row r="55" spans="1:13" x14ac:dyDescent="0.25">
      <c r="A55" s="25" t="s">
        <v>122</v>
      </c>
      <c r="B55" s="26" t="s">
        <v>58</v>
      </c>
      <c r="C55" s="27">
        <v>12</v>
      </c>
      <c r="D55" s="27">
        <v>0</v>
      </c>
      <c r="E55" s="27">
        <v>0</v>
      </c>
      <c r="F55" s="27">
        <v>0</v>
      </c>
      <c r="G55" s="26" t="s">
        <v>216</v>
      </c>
      <c r="H55" s="26" t="s">
        <v>197</v>
      </c>
      <c r="I55" s="26" t="s">
        <v>138</v>
      </c>
      <c r="J55" s="26" t="s">
        <v>318</v>
      </c>
      <c r="K55" s="26" t="s">
        <v>319</v>
      </c>
      <c r="L55" s="28" t="s">
        <v>201</v>
      </c>
      <c r="M55" s="26" t="s">
        <v>320</v>
      </c>
    </row>
    <row r="56" spans="1:13" x14ac:dyDescent="0.25">
      <c r="A56" s="25" t="s">
        <v>321</v>
      </c>
      <c r="B56" s="26" t="s">
        <v>58</v>
      </c>
      <c r="C56" s="27">
        <v>24</v>
      </c>
      <c r="D56" s="27">
        <v>0</v>
      </c>
      <c r="E56" s="27">
        <v>0</v>
      </c>
      <c r="F56" s="27">
        <v>12</v>
      </c>
      <c r="G56" s="26" t="s">
        <v>322</v>
      </c>
      <c r="H56" s="26" t="s">
        <v>197</v>
      </c>
      <c r="I56" s="26" t="s">
        <v>138</v>
      </c>
      <c r="J56" s="26" t="s">
        <v>318</v>
      </c>
      <c r="K56" s="26" t="s">
        <v>319</v>
      </c>
      <c r="L56" s="28" t="s">
        <v>201</v>
      </c>
      <c r="M56" s="26" t="s">
        <v>323</v>
      </c>
    </row>
    <row r="57" spans="1:13" x14ac:dyDescent="0.25">
      <c r="A57" s="25" t="s">
        <v>324</v>
      </c>
      <c r="B57" s="26" t="s">
        <v>58</v>
      </c>
      <c r="C57" s="27">
        <v>12</v>
      </c>
      <c r="D57" s="27">
        <v>0</v>
      </c>
      <c r="E57" s="27">
        <v>0</v>
      </c>
      <c r="F57" s="27">
        <v>0</v>
      </c>
      <c r="G57" s="26" t="s">
        <v>216</v>
      </c>
      <c r="H57" s="26" t="s">
        <v>197</v>
      </c>
      <c r="I57" s="26" t="s">
        <v>138</v>
      </c>
      <c r="J57" s="26" t="s">
        <v>318</v>
      </c>
      <c r="K57" s="26" t="s">
        <v>325</v>
      </c>
      <c r="L57" s="28" t="s">
        <v>201</v>
      </c>
      <c r="M57" s="26" t="s">
        <v>326</v>
      </c>
    </row>
    <row r="58" spans="1:13" x14ac:dyDescent="0.25">
      <c r="A58" s="25" t="s">
        <v>327</v>
      </c>
      <c r="B58" s="26" t="s">
        <v>58</v>
      </c>
      <c r="C58" s="27">
        <v>6</v>
      </c>
      <c r="D58" s="27">
        <v>0</v>
      </c>
      <c r="E58" s="27">
        <v>0</v>
      </c>
      <c r="F58" s="27">
        <v>0</v>
      </c>
      <c r="G58" s="26" t="s">
        <v>196</v>
      </c>
      <c r="H58" s="26" t="s">
        <v>197</v>
      </c>
      <c r="I58" s="26" t="s">
        <v>328</v>
      </c>
      <c r="J58" s="26" t="s">
        <v>329</v>
      </c>
      <c r="K58" s="26" t="s">
        <v>330</v>
      </c>
      <c r="L58" s="28" t="s">
        <v>201</v>
      </c>
      <c r="M58" s="26" t="s">
        <v>331</v>
      </c>
    </row>
    <row r="59" spans="1:13" x14ac:dyDescent="0.25">
      <c r="A59" s="25" t="s">
        <v>332</v>
      </c>
      <c r="B59" s="26" t="s">
        <v>59</v>
      </c>
      <c r="C59" s="27">
        <v>6</v>
      </c>
      <c r="D59" s="27">
        <v>0</v>
      </c>
      <c r="E59" s="27">
        <v>6</v>
      </c>
      <c r="F59" s="27">
        <v>0</v>
      </c>
      <c r="G59" s="26" t="s">
        <v>196</v>
      </c>
      <c r="H59" s="26" t="s">
        <v>197</v>
      </c>
      <c r="I59" s="26" t="s">
        <v>333</v>
      </c>
      <c r="J59" s="26" t="s">
        <v>329</v>
      </c>
      <c r="K59" s="26" t="s">
        <v>334</v>
      </c>
      <c r="L59" s="28" t="s">
        <v>201</v>
      </c>
      <c r="M59" s="26" t="s">
        <v>335</v>
      </c>
    </row>
    <row r="60" spans="1:13" x14ac:dyDescent="0.25">
      <c r="A60" s="25" t="s">
        <v>336</v>
      </c>
      <c r="B60" s="26" t="s">
        <v>59</v>
      </c>
      <c r="C60" s="27">
        <v>6</v>
      </c>
      <c r="D60" s="27">
        <v>0</v>
      </c>
      <c r="E60" s="27">
        <v>6</v>
      </c>
      <c r="F60" s="27">
        <v>0</v>
      </c>
      <c r="G60" s="26" t="s">
        <v>196</v>
      </c>
      <c r="H60" s="26" t="s">
        <v>197</v>
      </c>
      <c r="I60" s="26" t="s">
        <v>337</v>
      </c>
      <c r="J60" s="26" t="s">
        <v>329</v>
      </c>
      <c r="K60" s="26" t="s">
        <v>334</v>
      </c>
      <c r="L60" s="28" t="s">
        <v>201</v>
      </c>
      <c r="M60" s="26" t="s">
        <v>338</v>
      </c>
    </row>
    <row r="61" spans="1:13" x14ac:dyDescent="0.25">
      <c r="A61" s="25" t="s">
        <v>125</v>
      </c>
      <c r="B61" s="26" t="s">
        <v>59</v>
      </c>
      <c r="C61" s="27">
        <v>0</v>
      </c>
      <c r="D61" s="27">
        <v>12</v>
      </c>
      <c r="E61" s="27">
        <v>12</v>
      </c>
      <c r="F61" s="27">
        <v>0</v>
      </c>
      <c r="G61" s="26" t="s">
        <v>312</v>
      </c>
      <c r="H61" s="29" t="s">
        <v>339</v>
      </c>
      <c r="I61" s="26" t="s">
        <v>340</v>
      </c>
      <c r="J61" s="26" t="s">
        <v>341</v>
      </c>
      <c r="K61" s="26" t="s">
        <v>342</v>
      </c>
      <c r="L61" s="28" t="s">
        <v>201</v>
      </c>
      <c r="M61" s="26" t="s">
        <v>343</v>
      </c>
    </row>
    <row r="62" spans="1:13" x14ac:dyDescent="0.25">
      <c r="A62" s="25" t="s">
        <v>344</v>
      </c>
      <c r="B62" s="26" t="s">
        <v>59</v>
      </c>
      <c r="C62" s="27">
        <v>120</v>
      </c>
      <c r="D62" s="27">
        <v>0</v>
      </c>
      <c r="E62" s="27">
        <v>120</v>
      </c>
      <c r="F62" s="27">
        <v>0</v>
      </c>
      <c r="G62" s="26" t="s">
        <v>345</v>
      </c>
      <c r="H62" s="26" t="s">
        <v>346</v>
      </c>
      <c r="I62" s="26" t="s">
        <v>347</v>
      </c>
      <c r="J62" s="26" t="s">
        <v>348</v>
      </c>
      <c r="K62" s="26" t="s">
        <v>349</v>
      </c>
      <c r="L62" s="28" t="s">
        <v>201</v>
      </c>
      <c r="M62" s="26" t="s">
        <v>350</v>
      </c>
    </row>
    <row r="63" spans="1:13" x14ac:dyDescent="0.25">
      <c r="A63" s="25" t="s">
        <v>351</v>
      </c>
      <c r="B63" s="26" t="s">
        <v>59</v>
      </c>
      <c r="C63" s="27">
        <v>0</v>
      </c>
      <c r="D63" s="27">
        <v>12</v>
      </c>
      <c r="E63" s="27">
        <v>12</v>
      </c>
      <c r="F63" s="27">
        <v>0</v>
      </c>
      <c r="G63" s="26" t="s">
        <v>312</v>
      </c>
      <c r="H63" s="29" t="s">
        <v>352</v>
      </c>
      <c r="I63" s="26" t="s">
        <v>353</v>
      </c>
      <c r="J63" s="26" t="s">
        <v>341</v>
      </c>
      <c r="K63" s="26" t="s">
        <v>354</v>
      </c>
      <c r="L63" s="28" t="s">
        <v>201</v>
      </c>
      <c r="M63" s="26" t="s">
        <v>355</v>
      </c>
    </row>
    <row r="64" spans="1:13" x14ac:dyDescent="0.25">
      <c r="A64" s="25" t="s">
        <v>356</v>
      </c>
      <c r="B64" s="26" t="s">
        <v>60</v>
      </c>
      <c r="C64" s="27">
        <v>12</v>
      </c>
      <c r="D64" s="27">
        <v>0</v>
      </c>
      <c r="E64" s="27">
        <v>0</v>
      </c>
      <c r="F64" s="27">
        <v>0</v>
      </c>
      <c r="G64" s="26" t="s">
        <v>216</v>
      </c>
      <c r="H64" s="26" t="s">
        <v>197</v>
      </c>
      <c r="I64" s="26" t="s">
        <v>357</v>
      </c>
      <c r="J64" s="26" t="s">
        <v>358</v>
      </c>
      <c r="K64" s="26" t="s">
        <v>359</v>
      </c>
      <c r="L64" s="28" t="s">
        <v>201</v>
      </c>
      <c r="M64" s="26" t="s">
        <v>360</v>
      </c>
    </row>
    <row r="65" spans="1:13" x14ac:dyDescent="0.25">
      <c r="A65" s="25" t="s">
        <v>361</v>
      </c>
      <c r="B65" s="26" t="s">
        <v>60</v>
      </c>
      <c r="C65" s="27">
        <v>12</v>
      </c>
      <c r="D65" s="27">
        <v>0</v>
      </c>
      <c r="E65" s="27">
        <v>0</v>
      </c>
      <c r="F65" s="27">
        <v>0</v>
      </c>
      <c r="G65" s="26" t="s">
        <v>216</v>
      </c>
      <c r="H65" s="26" t="s">
        <v>197</v>
      </c>
      <c r="I65" s="26" t="s">
        <v>357</v>
      </c>
      <c r="J65" s="26" t="s">
        <v>358</v>
      </c>
      <c r="K65" s="26" t="s">
        <v>362</v>
      </c>
      <c r="L65" s="28" t="s">
        <v>201</v>
      </c>
      <c r="M65" s="26" t="s">
        <v>363</v>
      </c>
    </row>
    <row r="66" spans="1:13" x14ac:dyDescent="0.25">
      <c r="A66" s="25" t="s">
        <v>364</v>
      </c>
      <c r="B66" s="26" t="s">
        <v>60</v>
      </c>
      <c r="C66" s="27">
        <v>6</v>
      </c>
      <c r="D66" s="27">
        <v>0</v>
      </c>
      <c r="E66" s="27">
        <v>0</v>
      </c>
      <c r="F66" s="27">
        <v>0</v>
      </c>
      <c r="G66" s="26" t="s">
        <v>196</v>
      </c>
      <c r="H66" s="26" t="s">
        <v>197</v>
      </c>
      <c r="I66" s="26" t="s">
        <v>357</v>
      </c>
      <c r="J66" s="26" t="s">
        <v>358</v>
      </c>
      <c r="K66" s="26" t="s">
        <v>362</v>
      </c>
      <c r="L66" s="28" t="s">
        <v>201</v>
      </c>
      <c r="M66" s="26" t="s">
        <v>365</v>
      </c>
    </row>
    <row r="67" spans="1:13" x14ac:dyDescent="0.25">
      <c r="A67" s="25" t="s">
        <v>366</v>
      </c>
      <c r="B67" s="26" t="s">
        <v>61</v>
      </c>
      <c r="C67" s="27">
        <v>6</v>
      </c>
      <c r="D67" s="27">
        <v>0</v>
      </c>
      <c r="E67" s="27">
        <v>0</v>
      </c>
      <c r="F67" s="27">
        <v>0</v>
      </c>
      <c r="G67" s="26" t="s">
        <v>196</v>
      </c>
      <c r="H67" s="26" t="s">
        <v>197</v>
      </c>
      <c r="I67" s="26" t="s">
        <v>367</v>
      </c>
      <c r="J67" s="26" t="s">
        <v>368</v>
      </c>
      <c r="K67" s="26" t="s">
        <v>369</v>
      </c>
      <c r="L67" s="28" t="s">
        <v>201</v>
      </c>
      <c r="M67" s="26" t="s">
        <v>370</v>
      </c>
    </row>
    <row r="68" spans="1:13" x14ac:dyDescent="0.25">
      <c r="A68" s="25" t="s">
        <v>371</v>
      </c>
      <c r="B68" s="26" t="s">
        <v>62</v>
      </c>
      <c r="C68" s="27">
        <v>12</v>
      </c>
      <c r="D68" s="27">
        <v>0</v>
      </c>
      <c r="E68" s="27">
        <v>0</v>
      </c>
      <c r="F68" s="27">
        <v>0</v>
      </c>
      <c r="G68" s="26" t="s">
        <v>216</v>
      </c>
      <c r="H68" s="26" t="s">
        <v>197</v>
      </c>
      <c r="I68" s="26" t="s">
        <v>198</v>
      </c>
      <c r="J68" s="26" t="s">
        <v>199</v>
      </c>
      <c r="K68" s="26" t="s">
        <v>372</v>
      </c>
      <c r="L68" s="28" t="s">
        <v>201</v>
      </c>
      <c r="M68" s="26" t="s">
        <v>373</v>
      </c>
    </row>
    <row r="69" spans="1:13" x14ac:dyDescent="0.25">
      <c r="A69" s="25" t="s">
        <v>374</v>
      </c>
      <c r="B69" s="26" t="s">
        <v>62</v>
      </c>
      <c r="C69" s="27">
        <v>12</v>
      </c>
      <c r="D69" s="27">
        <v>0</v>
      </c>
      <c r="E69" s="27">
        <v>0</v>
      </c>
      <c r="F69" s="27">
        <v>0</v>
      </c>
      <c r="G69" s="26" t="s">
        <v>216</v>
      </c>
      <c r="H69" s="26" t="s">
        <v>197</v>
      </c>
      <c r="I69" s="26" t="s">
        <v>198</v>
      </c>
      <c r="J69" s="26" t="s">
        <v>199</v>
      </c>
      <c r="K69" s="26" t="s">
        <v>372</v>
      </c>
      <c r="L69" s="28" t="s">
        <v>201</v>
      </c>
      <c r="M69" s="26" t="s">
        <v>375</v>
      </c>
    </row>
    <row r="70" spans="1:13" x14ac:dyDescent="0.25">
      <c r="A70" s="25" t="s">
        <v>376</v>
      </c>
      <c r="B70" s="26" t="s">
        <v>63</v>
      </c>
      <c r="C70" s="27">
        <v>48</v>
      </c>
      <c r="D70" s="27">
        <v>0</v>
      </c>
      <c r="E70" s="27">
        <v>36</v>
      </c>
      <c r="F70" s="27">
        <v>0</v>
      </c>
      <c r="G70" s="26" t="s">
        <v>377</v>
      </c>
      <c r="H70" s="26" t="s">
        <v>346</v>
      </c>
      <c r="I70" s="26" t="s">
        <v>378</v>
      </c>
      <c r="J70" s="26" t="s">
        <v>379</v>
      </c>
      <c r="K70" s="26" t="s">
        <v>380</v>
      </c>
      <c r="L70" s="28" t="s">
        <v>201</v>
      </c>
      <c r="M70" s="26" t="s">
        <v>381</v>
      </c>
    </row>
    <row r="71" spans="1:13" x14ac:dyDescent="0.25">
      <c r="A71" s="25" t="s">
        <v>382</v>
      </c>
      <c r="B71" s="26" t="s">
        <v>63</v>
      </c>
      <c r="C71" s="27">
        <v>120</v>
      </c>
      <c r="D71" s="27">
        <v>0</v>
      </c>
      <c r="E71" s="27">
        <v>120</v>
      </c>
      <c r="F71" s="27">
        <v>0</v>
      </c>
      <c r="G71" s="26" t="s">
        <v>345</v>
      </c>
      <c r="H71" s="26" t="s">
        <v>346</v>
      </c>
      <c r="I71" s="26" t="s">
        <v>347</v>
      </c>
      <c r="J71" s="26" t="s">
        <v>348</v>
      </c>
      <c r="K71" s="26" t="s">
        <v>349</v>
      </c>
      <c r="L71" s="28" t="s">
        <v>201</v>
      </c>
      <c r="M71" s="26" t="s">
        <v>383</v>
      </c>
    </row>
    <row r="72" spans="1:13" x14ac:dyDescent="0.25">
      <c r="A72" s="25" t="s">
        <v>384</v>
      </c>
      <c r="B72" s="26" t="s">
        <v>63</v>
      </c>
      <c r="C72" s="27">
        <v>24</v>
      </c>
      <c r="D72" s="27">
        <v>0</v>
      </c>
      <c r="E72" s="27">
        <v>0</v>
      </c>
      <c r="F72" s="27">
        <v>0</v>
      </c>
      <c r="G72" s="26" t="s">
        <v>322</v>
      </c>
      <c r="H72" s="26" t="s">
        <v>346</v>
      </c>
      <c r="I72" s="26" t="s">
        <v>378</v>
      </c>
      <c r="J72" s="26" t="s">
        <v>379</v>
      </c>
      <c r="K72" s="26" t="s">
        <v>380</v>
      </c>
      <c r="L72" s="28" t="s">
        <v>201</v>
      </c>
      <c r="M72" s="26" t="s">
        <v>385</v>
      </c>
    </row>
    <row r="73" spans="1:13" x14ac:dyDescent="0.25">
      <c r="A73" s="25" t="s">
        <v>386</v>
      </c>
      <c r="B73" s="26" t="s">
        <v>63</v>
      </c>
      <c r="C73" s="27">
        <v>120</v>
      </c>
      <c r="D73" s="27">
        <v>0</v>
      </c>
      <c r="E73" s="27">
        <v>120</v>
      </c>
      <c r="F73" s="27">
        <v>0</v>
      </c>
      <c r="G73" s="26" t="s">
        <v>345</v>
      </c>
      <c r="H73" s="26" t="s">
        <v>346</v>
      </c>
      <c r="I73" s="26" t="s">
        <v>347</v>
      </c>
      <c r="J73" s="26" t="s">
        <v>348</v>
      </c>
      <c r="K73" s="26" t="s">
        <v>349</v>
      </c>
      <c r="L73" s="28" t="s">
        <v>201</v>
      </c>
      <c r="M73" s="26" t="s">
        <v>2</v>
      </c>
    </row>
    <row r="74" spans="1:13" x14ac:dyDescent="0.25">
      <c r="A74" s="25" t="s">
        <v>119</v>
      </c>
      <c r="B74" s="26" t="s">
        <v>64</v>
      </c>
      <c r="C74" s="27">
        <v>12</v>
      </c>
      <c r="D74" s="27">
        <v>0</v>
      </c>
      <c r="E74" s="27">
        <v>12</v>
      </c>
      <c r="F74" s="27">
        <v>0</v>
      </c>
      <c r="G74" s="26" t="s">
        <v>216</v>
      </c>
      <c r="H74" s="26" t="s">
        <v>197</v>
      </c>
      <c r="I74" s="26" t="s">
        <v>198</v>
      </c>
      <c r="J74" s="26" t="s">
        <v>387</v>
      </c>
      <c r="K74" s="26" t="s">
        <v>388</v>
      </c>
      <c r="L74" s="28" t="s">
        <v>201</v>
      </c>
      <c r="M74" s="26" t="s">
        <v>389</v>
      </c>
    </row>
    <row r="75" spans="1:13" x14ac:dyDescent="0.25">
      <c r="A75" s="25" t="s">
        <v>390</v>
      </c>
      <c r="B75" s="26" t="s">
        <v>64</v>
      </c>
      <c r="C75" s="27">
        <v>12</v>
      </c>
      <c r="D75" s="27">
        <v>0</v>
      </c>
      <c r="E75" s="27">
        <v>12</v>
      </c>
      <c r="F75" s="27">
        <v>0</v>
      </c>
      <c r="G75" s="26" t="s">
        <v>216</v>
      </c>
      <c r="H75" s="26" t="s">
        <v>197</v>
      </c>
      <c r="I75" s="26" t="s">
        <v>198</v>
      </c>
      <c r="J75" s="26" t="s">
        <v>387</v>
      </c>
      <c r="K75" s="26" t="s">
        <v>388</v>
      </c>
      <c r="L75" s="28" t="s">
        <v>201</v>
      </c>
      <c r="M75" s="26" t="s">
        <v>391</v>
      </c>
    </row>
    <row r="76" spans="1:13" x14ac:dyDescent="0.25">
      <c r="A76" s="25" t="s">
        <v>392</v>
      </c>
      <c r="B76" s="26" t="s">
        <v>64</v>
      </c>
      <c r="C76" s="27">
        <v>12</v>
      </c>
      <c r="D76" s="27">
        <v>0</v>
      </c>
      <c r="E76" s="27">
        <v>12</v>
      </c>
      <c r="F76" s="27">
        <v>0</v>
      </c>
      <c r="G76" s="26" t="s">
        <v>216</v>
      </c>
      <c r="H76" s="26" t="s">
        <v>197</v>
      </c>
      <c r="I76" s="26" t="s">
        <v>198</v>
      </c>
      <c r="J76" s="26" t="s">
        <v>387</v>
      </c>
      <c r="K76" s="26" t="s">
        <v>388</v>
      </c>
      <c r="L76" s="28" t="s">
        <v>201</v>
      </c>
      <c r="M76" s="26" t="s">
        <v>393</v>
      </c>
    </row>
    <row r="77" spans="1:13" x14ac:dyDescent="0.25">
      <c r="A77" s="25" t="s">
        <v>394</v>
      </c>
      <c r="B77" s="26" t="s">
        <v>64</v>
      </c>
      <c r="C77" s="27">
        <v>12</v>
      </c>
      <c r="D77" s="27">
        <v>0</v>
      </c>
      <c r="E77" s="27">
        <v>12</v>
      </c>
      <c r="F77" s="27">
        <v>0</v>
      </c>
      <c r="G77" s="26" t="s">
        <v>216</v>
      </c>
      <c r="H77" s="26" t="s">
        <v>197</v>
      </c>
      <c r="I77" s="26" t="s">
        <v>198</v>
      </c>
      <c r="J77" s="26" t="s">
        <v>387</v>
      </c>
      <c r="K77" s="26" t="s">
        <v>388</v>
      </c>
      <c r="L77" s="28" t="s">
        <v>201</v>
      </c>
      <c r="M77" s="26" t="s">
        <v>395</v>
      </c>
    </row>
    <row r="78" spans="1:13" x14ac:dyDescent="0.25">
      <c r="A78" s="25" t="s">
        <v>396</v>
      </c>
      <c r="B78" s="26" t="s">
        <v>64</v>
      </c>
      <c r="C78" s="27">
        <v>12</v>
      </c>
      <c r="D78" s="27">
        <v>0</v>
      </c>
      <c r="E78" s="27">
        <v>12</v>
      </c>
      <c r="F78" s="27">
        <v>0</v>
      </c>
      <c r="G78" s="26" t="s">
        <v>216</v>
      </c>
      <c r="H78" s="26" t="s">
        <v>197</v>
      </c>
      <c r="I78" s="26" t="s">
        <v>198</v>
      </c>
      <c r="J78" s="26" t="s">
        <v>387</v>
      </c>
      <c r="K78" s="26" t="s">
        <v>388</v>
      </c>
      <c r="L78" s="28" t="s">
        <v>201</v>
      </c>
      <c r="M78" s="26" t="s">
        <v>397</v>
      </c>
    </row>
    <row r="79" spans="1:13" x14ac:dyDescent="0.25">
      <c r="A79" s="25" t="s">
        <v>398</v>
      </c>
      <c r="B79" s="26" t="s">
        <v>64</v>
      </c>
      <c r="C79" s="27">
        <v>0</v>
      </c>
      <c r="D79" s="27">
        <v>12</v>
      </c>
      <c r="E79" s="27">
        <v>12</v>
      </c>
      <c r="F79" s="27">
        <v>0</v>
      </c>
      <c r="G79" s="26" t="s">
        <v>312</v>
      </c>
      <c r="H79" s="29" t="s">
        <v>399</v>
      </c>
      <c r="I79" s="26" t="s">
        <v>138</v>
      </c>
      <c r="J79" s="26" t="s">
        <v>400</v>
      </c>
      <c r="K79" s="26" t="s">
        <v>401</v>
      </c>
      <c r="L79" s="28" t="s">
        <v>201</v>
      </c>
      <c r="M79" s="26" t="s">
        <v>402</v>
      </c>
    </row>
    <row r="80" spans="1:13" x14ac:dyDescent="0.25">
      <c r="A80" s="25" t="s">
        <v>403</v>
      </c>
      <c r="B80" s="26" t="s">
        <v>65</v>
      </c>
      <c r="C80" s="27">
        <v>12</v>
      </c>
      <c r="D80" s="27">
        <v>0</v>
      </c>
      <c r="E80" s="27">
        <v>12</v>
      </c>
      <c r="F80" s="27">
        <v>0</v>
      </c>
      <c r="G80" s="26" t="s">
        <v>216</v>
      </c>
      <c r="H80" s="26" t="s">
        <v>197</v>
      </c>
      <c r="I80" s="26" t="s">
        <v>404</v>
      </c>
      <c r="J80" s="26" t="s">
        <v>405</v>
      </c>
      <c r="K80" s="26" t="s">
        <v>406</v>
      </c>
      <c r="L80" s="28" t="s">
        <v>201</v>
      </c>
      <c r="M80" s="26" t="s">
        <v>407</v>
      </c>
    </row>
    <row r="81" spans="1:13" x14ac:dyDescent="0.25">
      <c r="A81" s="25" t="s">
        <v>408</v>
      </c>
      <c r="B81" s="26" t="s">
        <v>65</v>
      </c>
      <c r="C81" s="27">
        <v>12</v>
      </c>
      <c r="D81" s="27">
        <v>0</v>
      </c>
      <c r="E81" s="27">
        <v>0</v>
      </c>
      <c r="F81" s="27">
        <v>0</v>
      </c>
      <c r="G81" s="26" t="s">
        <v>216</v>
      </c>
      <c r="H81" s="26" t="s">
        <v>197</v>
      </c>
      <c r="I81" s="26" t="s">
        <v>138</v>
      </c>
      <c r="J81" s="26" t="s">
        <v>409</v>
      </c>
      <c r="K81" s="26" t="s">
        <v>410</v>
      </c>
      <c r="L81" s="28" t="s">
        <v>201</v>
      </c>
      <c r="M81" s="26" t="s">
        <v>411</v>
      </c>
    </row>
    <row r="82" spans="1:13" x14ac:dyDescent="0.25">
      <c r="A82" s="25" t="s">
        <v>412</v>
      </c>
      <c r="B82" s="26" t="s">
        <v>65</v>
      </c>
      <c r="C82" s="27">
        <v>0</v>
      </c>
      <c r="D82" s="27">
        <v>12</v>
      </c>
      <c r="E82" s="27">
        <v>12</v>
      </c>
      <c r="F82" s="27">
        <v>0</v>
      </c>
      <c r="G82" s="26" t="s">
        <v>312</v>
      </c>
      <c r="H82" s="29" t="s">
        <v>339</v>
      </c>
      <c r="I82" s="26" t="s">
        <v>413</v>
      </c>
      <c r="J82" s="26" t="s">
        <v>414</v>
      </c>
      <c r="K82" s="26" t="s">
        <v>415</v>
      </c>
      <c r="L82" s="28" t="s">
        <v>201</v>
      </c>
      <c r="M82" s="26" t="s">
        <v>416</v>
      </c>
    </row>
    <row r="83" spans="1:13" x14ac:dyDescent="0.25">
      <c r="A83" s="25" t="s">
        <v>417</v>
      </c>
      <c r="B83" s="26" t="s">
        <v>65</v>
      </c>
      <c r="C83" s="27">
        <v>0</v>
      </c>
      <c r="D83" s="27">
        <v>0</v>
      </c>
      <c r="E83" s="27">
        <v>0</v>
      </c>
      <c r="F83" s="27">
        <v>0</v>
      </c>
      <c r="G83" s="26" t="s">
        <v>418</v>
      </c>
      <c r="H83" s="26" t="s">
        <v>2</v>
      </c>
      <c r="I83" s="26" t="s">
        <v>2</v>
      </c>
      <c r="J83" s="26" t="s">
        <v>2</v>
      </c>
      <c r="K83" s="26" t="s">
        <v>419</v>
      </c>
      <c r="L83" s="26"/>
      <c r="M83" s="26" t="s">
        <v>420</v>
      </c>
    </row>
    <row r="85" spans="1:1" x14ac:dyDescent="0.25">
      <c r="A85" s="30" t="s">
        <v>421</v>
      </c>
    </row>
    <row r="86" ht="30" customHeight="1" spans="1:13" x14ac:dyDescent="0.25">
      <c r="A86" s="8" t="s">
        <v>32</v>
      </c>
      <c r="B86" s="8" t="s">
        <v>422</v>
      </c>
      <c r="C86" s="8"/>
      <c r="D86" s="8"/>
      <c r="E86" s="8"/>
      <c r="F86" s="8"/>
      <c r="G86" s="8"/>
      <c r="H86" s="8"/>
      <c r="I86" s="8"/>
      <c r="J86" s="8"/>
      <c r="K86" s="8" t="s">
        <v>193</v>
      </c>
      <c r="L86" s="8" t="s">
        <v>194</v>
      </c>
      <c r="M86" s="8" t="s">
        <v>423</v>
      </c>
    </row>
    <row r="87" ht="30" customHeight="1" spans="1:13" x14ac:dyDescent="0.25">
      <c r="A87" s="25" t="s">
        <v>424</v>
      </c>
      <c r="B87" s="26" t="s">
        <v>425</v>
      </c>
      <c r="C87" s="26"/>
      <c r="D87" s="26"/>
      <c r="E87" s="26"/>
      <c r="F87" s="26"/>
      <c r="G87" s="26"/>
      <c r="H87" s="26"/>
      <c r="I87" s="26"/>
      <c r="J87" s="26"/>
      <c r="K87" s="26" t="s">
        <v>426</v>
      </c>
      <c r="L87" s="28" t="s">
        <v>201</v>
      </c>
      <c r="M87" s="26" t="s">
        <v>427</v>
      </c>
    </row>
    <row r="88" ht="30" customHeight="1" spans="1:13" x14ac:dyDescent="0.25">
      <c r="A88" s="25" t="s">
        <v>428</v>
      </c>
      <c r="B88" s="26" t="s">
        <v>429</v>
      </c>
      <c r="C88" s="26"/>
      <c r="D88" s="26"/>
      <c r="E88" s="26"/>
      <c r="F88" s="26"/>
      <c r="G88" s="26"/>
      <c r="H88" s="26"/>
      <c r="I88" s="26"/>
      <c r="J88" s="26"/>
      <c r="K88" s="26" t="s">
        <v>430</v>
      </c>
      <c r="L88" s="28" t="s">
        <v>201</v>
      </c>
      <c r="M88" s="26" t="s">
        <v>431</v>
      </c>
    </row>
    <row r="89" ht="30" customHeight="1" spans="1:13" x14ac:dyDescent="0.25">
      <c r="A89" s="25" t="s">
        <v>432</v>
      </c>
      <c r="B89" s="26" t="s">
        <v>433</v>
      </c>
      <c r="C89" s="26"/>
      <c r="D89" s="26"/>
      <c r="E89" s="26"/>
      <c r="F89" s="26"/>
      <c r="G89" s="26"/>
      <c r="H89" s="26"/>
      <c r="I89" s="26"/>
      <c r="J89" s="26"/>
      <c r="K89" s="26" t="s">
        <v>430</v>
      </c>
      <c r="L89" s="28" t="s">
        <v>201</v>
      </c>
      <c r="M89" s="26" t="s">
        <v>2</v>
      </c>
    </row>
    <row r="90" ht="30" customHeight="1" spans="1:13" x14ac:dyDescent="0.25">
      <c r="A90" s="25" t="s">
        <v>434</v>
      </c>
      <c r="B90" s="26" t="s">
        <v>429</v>
      </c>
      <c r="C90" s="26"/>
      <c r="D90" s="26"/>
      <c r="E90" s="26"/>
      <c r="F90" s="26"/>
      <c r="G90" s="26"/>
      <c r="H90" s="26"/>
      <c r="I90" s="26"/>
      <c r="J90" s="26"/>
      <c r="K90" s="26" t="s">
        <v>430</v>
      </c>
      <c r="L90" s="28" t="s">
        <v>201</v>
      </c>
      <c r="M90" s="26" t="s">
        <v>2</v>
      </c>
    </row>
    <row r="91" ht="30" customHeight="1" spans="1:13" x14ac:dyDescent="0.25">
      <c r="A91" s="25" t="s">
        <v>435</v>
      </c>
      <c r="B91" s="26" t="s">
        <v>429</v>
      </c>
      <c r="C91" s="26"/>
      <c r="D91" s="26"/>
      <c r="E91" s="26"/>
      <c r="F91" s="26"/>
      <c r="G91" s="26"/>
      <c r="H91" s="26"/>
      <c r="I91" s="26"/>
      <c r="J91" s="26"/>
      <c r="K91" s="26" t="s">
        <v>430</v>
      </c>
      <c r="L91" s="28" t="s">
        <v>201</v>
      </c>
      <c r="M91" s="26" t="s">
        <v>2</v>
      </c>
    </row>
    <row r="92" ht="30" customHeight="1" spans="1:13" x14ac:dyDescent="0.25">
      <c r="A92" s="25" t="s">
        <v>436</v>
      </c>
      <c r="B92" s="26" t="s">
        <v>437</v>
      </c>
      <c r="C92" s="26"/>
      <c r="D92" s="26"/>
      <c r="E92" s="26"/>
      <c r="F92" s="26"/>
      <c r="G92" s="26"/>
      <c r="H92" s="26"/>
      <c r="I92" s="26"/>
      <c r="J92" s="26"/>
      <c r="K92" s="26" t="s">
        <v>274</v>
      </c>
      <c r="L92" s="28" t="s">
        <v>201</v>
      </c>
      <c r="M92" s="26" t="s">
        <v>438</v>
      </c>
    </row>
    <row r="93" ht="30" customHeight="1" spans="1:13" x14ac:dyDescent="0.25">
      <c r="A93" s="25" t="s">
        <v>439</v>
      </c>
      <c r="B93" s="26" t="s">
        <v>440</v>
      </c>
      <c r="C93" s="26"/>
      <c r="D93" s="26"/>
      <c r="E93" s="26"/>
      <c r="F93" s="26"/>
      <c r="G93" s="26"/>
      <c r="H93" s="26"/>
      <c r="I93" s="26"/>
      <c r="J93" s="26"/>
      <c r="K93" s="26" t="s">
        <v>274</v>
      </c>
      <c r="L93" s="28" t="s">
        <v>201</v>
      </c>
      <c r="M93" s="26" t="s">
        <v>2</v>
      </c>
    </row>
    <row r="94" ht="30" customHeight="1" spans="1:13" x14ac:dyDescent="0.25">
      <c r="A94" s="25" t="s">
        <v>441</v>
      </c>
      <c r="B94" s="26" t="s">
        <v>442</v>
      </c>
      <c r="C94" s="26"/>
      <c r="D94" s="26"/>
      <c r="E94" s="26"/>
      <c r="F94" s="26"/>
      <c r="G94" s="26"/>
      <c r="H94" s="26"/>
      <c r="I94" s="26"/>
      <c r="J94" s="26"/>
      <c r="K94" s="26" t="s">
        <v>284</v>
      </c>
      <c r="L94" s="28" t="s">
        <v>201</v>
      </c>
      <c r="M94" s="26" t="s">
        <v>431</v>
      </c>
    </row>
    <row r="95" ht="30" customHeight="1" spans="1:13" x14ac:dyDescent="0.25">
      <c r="A95" s="25" t="s">
        <v>443</v>
      </c>
      <c r="B95" s="26" t="s">
        <v>444</v>
      </c>
      <c r="C95" s="26"/>
      <c r="D95" s="26"/>
      <c r="E95" s="26"/>
      <c r="F95" s="26"/>
      <c r="G95" s="26"/>
      <c r="H95" s="26"/>
      <c r="I95" s="26"/>
      <c r="J95" s="26"/>
      <c r="K95" s="26" t="s">
        <v>445</v>
      </c>
      <c r="L95" s="28" t="s">
        <v>201</v>
      </c>
      <c r="M95" s="26" t="s">
        <v>446</v>
      </c>
    </row>
    <row r="96" ht="30" customHeight="1" spans="1:13" x14ac:dyDescent="0.25">
      <c r="A96" s="25" t="s">
        <v>447</v>
      </c>
      <c r="B96" s="26" t="s">
        <v>448</v>
      </c>
      <c r="C96" s="26"/>
      <c r="D96" s="26"/>
      <c r="E96" s="26"/>
      <c r="F96" s="26"/>
      <c r="G96" s="26"/>
      <c r="H96" s="26"/>
      <c r="I96" s="26"/>
      <c r="J96" s="26"/>
      <c r="K96" s="26" t="s">
        <v>449</v>
      </c>
      <c r="L96" s="28" t="s">
        <v>201</v>
      </c>
      <c r="M96" s="26" t="s">
        <v>450</v>
      </c>
    </row>
    <row r="97" ht="30" customHeight="1" spans="1:13" x14ac:dyDescent="0.25">
      <c r="A97" s="25" t="s">
        <v>451</v>
      </c>
      <c r="B97" s="26" t="s">
        <v>452</v>
      </c>
      <c r="C97" s="26"/>
      <c r="D97" s="26"/>
      <c r="E97" s="26"/>
      <c r="F97" s="26"/>
      <c r="G97" s="26"/>
      <c r="H97" s="26"/>
      <c r="I97" s="26"/>
      <c r="J97" s="26"/>
      <c r="K97" s="26" t="s">
        <v>453</v>
      </c>
      <c r="L97" s="28" t="s">
        <v>201</v>
      </c>
      <c r="M97" s="26" t="s">
        <v>2</v>
      </c>
    </row>
    <row r="98" ht="30" customHeight="1" spans="1:13" x14ac:dyDescent="0.25">
      <c r="A98" s="25" t="s">
        <v>454</v>
      </c>
      <c r="B98" s="26" t="s">
        <v>455</v>
      </c>
      <c r="C98" s="26"/>
      <c r="D98" s="26"/>
      <c r="E98" s="26"/>
      <c r="F98" s="26"/>
      <c r="G98" s="26"/>
      <c r="H98" s="26"/>
      <c r="I98" s="26"/>
      <c r="J98" s="26"/>
      <c r="K98" s="26" t="s">
        <v>456</v>
      </c>
      <c r="L98" s="28" t="s">
        <v>201</v>
      </c>
      <c r="M98" s="26" t="s">
        <v>457</v>
      </c>
    </row>
    <row r="99" ht="30" customHeight="1" spans="1:13" x14ac:dyDescent="0.25">
      <c r="A99" s="25" t="s">
        <v>458</v>
      </c>
      <c r="B99" s="26" t="s">
        <v>459</v>
      </c>
      <c r="C99" s="26"/>
      <c r="D99" s="26"/>
      <c r="E99" s="26"/>
      <c r="F99" s="26"/>
      <c r="G99" s="26"/>
      <c r="H99" s="26"/>
      <c r="I99" s="26"/>
      <c r="J99" s="26"/>
      <c r="K99" s="26" t="s">
        <v>388</v>
      </c>
      <c r="L99" s="28" t="s">
        <v>201</v>
      </c>
      <c r="M99" s="26" t="s">
        <v>460</v>
      </c>
    </row>
  </sheetData>
  <sheetProtection sheet="1" formatColumns="0" formatRows="0" autoFilter="0"/>
  <mergeCells count="14">
    <mergeCell ref="B86:J86"/>
    <mergeCell ref="B87:J87"/>
    <mergeCell ref="B88:J88"/>
    <mergeCell ref="B89:J89"/>
    <mergeCell ref="B90:J90"/>
    <mergeCell ref="B91:J91"/>
    <mergeCell ref="B92:J92"/>
    <mergeCell ref="B93:J93"/>
    <mergeCell ref="B94:J94"/>
    <mergeCell ref="B95:J95"/>
    <mergeCell ref="B96:J96"/>
    <mergeCell ref="B97:J97"/>
    <mergeCell ref="B98:J98"/>
    <mergeCell ref="B99:J99"/>
  </mergeCells>
  <hyperlinks>
    <hyperlink ref="L2" r:id="rId1"/>
    <hyperlink ref="L3" r:id="rId2"/>
    <hyperlink ref="L4" r:id="rId3"/>
    <hyperlink ref="L5" r:id="rId4"/>
    <hyperlink ref="L6" r:id="rId5"/>
    <hyperlink ref="L7" r:id="rId6"/>
    <hyperlink ref="L8" r:id="rId7"/>
    <hyperlink ref="L9" r:id="rId8"/>
    <hyperlink ref="L10" r:id="rId9"/>
    <hyperlink ref="L11" r:id="rId10"/>
    <hyperlink ref="L12" r:id="rId11"/>
    <hyperlink ref="L13" r:id="rId12"/>
    <hyperlink ref="L14" r:id="rId13"/>
    <hyperlink ref="L15" r:id="rId14"/>
    <hyperlink ref="L16" r:id="rId15"/>
    <hyperlink ref="L17" r:id="rId16"/>
    <hyperlink ref="L18" r:id="rId17"/>
    <hyperlink ref="L19" r:id="rId18"/>
    <hyperlink ref="L20" r:id="rId19"/>
    <hyperlink ref="L21" r:id="rId20"/>
    <hyperlink ref="L22" r:id="rId21"/>
    <hyperlink ref="L23" r:id="rId22"/>
    <hyperlink ref="L24" r:id="rId23"/>
    <hyperlink ref="L25" r:id="rId24"/>
    <hyperlink ref="L26" r:id="rId25"/>
    <hyperlink ref="L27" r:id="rId26"/>
    <hyperlink ref="L28" r:id="rId27"/>
    <hyperlink ref="L29" r:id="rId28"/>
    <hyperlink ref="L30" r:id="rId29"/>
    <hyperlink ref="L31" r:id="rId30"/>
    <hyperlink ref="L32" r:id="rId31"/>
    <hyperlink ref="L33" r:id="rId32"/>
    <hyperlink ref="L34" r:id="rId33"/>
    <hyperlink ref="L35" r:id="rId34"/>
    <hyperlink ref="L36" r:id="rId35"/>
    <hyperlink ref="L37" r:id="rId36"/>
    <hyperlink ref="L38" r:id="rId37"/>
    <hyperlink ref="L39" r:id="rId38"/>
    <hyperlink ref="L40" r:id="rId39"/>
    <hyperlink ref="L41" r:id="rId40"/>
    <hyperlink ref="L42" r:id="rId41"/>
    <hyperlink ref="L43" r:id="rId42"/>
    <hyperlink ref="L44" r:id="rId43"/>
    <hyperlink ref="L45" r:id="rId44"/>
    <hyperlink ref="L46" r:id="rId45"/>
    <hyperlink ref="L47" r:id="rId46"/>
    <hyperlink ref="L48" r:id="rId47"/>
    <hyperlink ref="L49" r:id="rId48"/>
    <hyperlink ref="L50" r:id="rId49"/>
    <hyperlink ref="L51" r:id="rId50"/>
    <hyperlink ref="L52" r:id="rId51"/>
    <hyperlink ref="L53" r:id="rId52"/>
    <hyperlink ref="L54" r:id="rId53"/>
    <hyperlink ref="L55" r:id="rId54"/>
    <hyperlink ref="L56" r:id="rId55"/>
    <hyperlink ref="L57" r:id="rId56"/>
    <hyperlink ref="L58" r:id="rId57"/>
    <hyperlink ref="L59" r:id="rId58"/>
    <hyperlink ref="L60" r:id="rId59"/>
    <hyperlink ref="L61" r:id="rId60"/>
    <hyperlink ref="L62" r:id="rId61"/>
    <hyperlink ref="L63" r:id="rId62"/>
    <hyperlink ref="L64" r:id="rId63"/>
    <hyperlink ref="L65" r:id="rId64"/>
    <hyperlink ref="L66" r:id="rId65"/>
    <hyperlink ref="L67" r:id="rId66"/>
    <hyperlink ref="L68" r:id="rId67"/>
    <hyperlink ref="L69" r:id="rId68"/>
    <hyperlink ref="L70" r:id="rId69"/>
    <hyperlink ref="L71" r:id="rId70"/>
    <hyperlink ref="L72" r:id="rId71"/>
    <hyperlink ref="L73" r:id="rId72"/>
    <hyperlink ref="L74" r:id="rId73"/>
    <hyperlink ref="L75" r:id="rId74"/>
    <hyperlink ref="L76" r:id="rId75"/>
    <hyperlink ref="L77" r:id="rId76"/>
    <hyperlink ref="L78" r:id="rId77"/>
    <hyperlink ref="L79" r:id="rId78"/>
    <hyperlink ref="L80" r:id="rId79"/>
    <hyperlink ref="L81" r:id="rId80"/>
    <hyperlink ref="L82" r:id="rId81"/>
    <hyperlink ref="L87" r:id="rId82"/>
    <hyperlink ref="L88" r:id="rId83"/>
    <hyperlink ref="L89" r:id="rId84"/>
    <hyperlink ref="L90" r:id="rId85"/>
    <hyperlink ref="L91" r:id="rId86"/>
    <hyperlink ref="L92" r:id="rId87"/>
    <hyperlink ref="L93" r:id="rId88"/>
    <hyperlink ref="L94" r:id="rId89"/>
    <hyperlink ref="L95" r:id="rId90"/>
    <hyperlink ref="L96" r:id="rId91"/>
    <hyperlink ref="L97" r:id="rId92"/>
    <hyperlink ref="L98" r:id="rId93"/>
    <hyperlink ref="L99" r:id="rId94"/>
  </hyperlinks>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Notice</vt:lpstr>
      <vt:lpstr>Tableau de bord</vt:lpstr>
      <vt:lpstr>Parc</vt:lpstr>
      <vt:lpstr>Vérifications</vt:lpstr>
      <vt:lpstr>Réserves</vt:lpstr>
      <vt:lpstr>Référentiel</vt:lpstr>
    </vt:vector>
  </TitlesOfParts>
  <Company>Roméo Labs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Roméo Labs</dc:creator>
  <dc:title/>
  <dc:subject/>
  <dc:description/>
  <cp:keywords/>
  <cp:category/>
  <cp:lastModifiedBy>Unknown</cp:lastModifiedBy>
  <dcterms:created xsi:type="dcterms:W3CDTF">2026-07-03T00:00:00Z</dcterms:created>
  <dcterms:modified xsi:type="dcterms:W3CDTF">2026-09-29T20:57:52Z</dcterms:modified>
</cp:coreProperties>
</file>